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drawings/drawing4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5.xml" ContentType="application/vnd.openxmlformats-officedocument.drawing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drawings/drawing7.xml" ContentType="application/vnd.openxmlformats-officedocument.drawing+xml"/>
  <Override PartName="/xl/charts/chart12.xml" ContentType="application/vnd.openxmlformats-officedocument.drawingml.chart+xml"/>
  <Override PartName="/xl/drawings/drawing8.xml" ContentType="application/vnd.openxmlformats-officedocument.drawing+xml"/>
  <Override PartName="/xl/charts/chart13.xml" ContentType="application/vnd.openxmlformats-officedocument.drawingml.chart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/>
  <mc:AlternateContent xmlns:mc="http://schemas.openxmlformats.org/markup-compatibility/2006">
    <mc:Choice Requires="x15">
      <x15ac:absPath xmlns:x15ac="http://schemas.microsoft.com/office/spreadsheetml/2010/11/ac" url="https://d.docs.live.net/889c5c45d807b188/BIA/Projects/DATA/ABS stats/2020/May/"/>
    </mc:Choice>
  </mc:AlternateContent>
  <xr:revisionPtr revIDLastSave="0" documentId="8_{106228FE-4AAA-4ACB-9CAA-4263D65551F3}" xr6:coauthVersionLast="45" xr6:coauthVersionMax="45" xr10:uidLastSave="{00000000-0000-0000-0000-000000000000}"/>
  <workbookProtection workbookAlgorithmName="SHA-512" workbookHashValue="DH/EFFdKdPLsIVEpFkB/4HS+YqZFbBE//ppVZtTWw1JVGkRUadQ+gixgplXdo1QOBTkgKGMQHfAz2VpNRPQ7Ug==" workbookSaltValue="kLiFHgDdcl3/qtVzLnXe/g==" workbookSpinCount="100000" lockStructure="1"/>
  <bookViews>
    <workbookView xWindow="8745" yWindow="645" windowWidth="19875" windowHeight="14805" tabRatio="706" xr2:uid="{00000000-000D-0000-FFFF-FFFF00000000}"/>
  </bookViews>
  <sheets>
    <sheet name="Monthly_Imports" sheetId="3" r:id="rId1"/>
    <sheet name="Financial Yr cumulative imports" sheetId="8" r:id="rId2"/>
    <sheet name="Financial Yr Imports" sheetId="20" r:id="rId3"/>
    <sheet name="Calendar Yr import" sheetId="2" r:id="rId4"/>
    <sheet name="Quarterly_Imports_By_Year" sheetId="6" r:id="rId5"/>
    <sheet name="Market_Breakdown" sheetId="5" r:id="rId6"/>
    <sheet name="Cumulative monthly imports" sheetId="7" r:id="rId7"/>
    <sheet name="Ave annual import value" sheetId="10" r:id="rId8"/>
    <sheet name="Quarterly_Adjusted_Figures" sheetId="1" r:id="rId9"/>
    <sheet name="Import Value Qtr" sheetId="9" r:id="rId10"/>
    <sheet name="Import Value MNTH" sheetId="19" r:id="rId11"/>
    <sheet name="Inner tubes" sheetId="11" r:id="rId12"/>
    <sheet name="Tyres" sheetId="12" r:id="rId13"/>
    <sheet name="Bike lights" sheetId="13" r:id="rId14"/>
    <sheet name="Frames" sheetId="14" r:id="rId15"/>
    <sheet name="Forks" sheetId="15" r:id="rId16"/>
    <sheet name="Wheel Rims" sheetId="16" r:id="rId17"/>
    <sheet name="Saddles" sheetId="17" r:id="rId18"/>
    <sheet name="Pedals and cranks" sheetId="18" r:id="rId19"/>
    <sheet name="Sheet1" sheetId="21" r:id="rId20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33" i="18" l="1"/>
  <c r="O44" i="17"/>
  <c r="O43" i="17"/>
  <c r="O33" i="16"/>
  <c r="O33" i="15"/>
  <c r="O57" i="14"/>
  <c r="O56" i="14"/>
  <c r="O33" i="13"/>
  <c r="O55" i="12"/>
  <c r="O54" i="12"/>
  <c r="O55" i="11"/>
  <c r="O54" i="11"/>
  <c r="N69" i="19"/>
  <c r="J69" i="19"/>
  <c r="K69" i="19"/>
  <c r="L69" i="19"/>
  <c r="M69" i="19"/>
  <c r="D69" i="19"/>
  <c r="M16" i="7"/>
  <c r="M15" i="7"/>
  <c r="L22" i="8"/>
  <c r="L46" i="8"/>
  <c r="L71" i="8"/>
  <c r="I73" i="3" l="1"/>
  <c r="O57" i="12" l="1"/>
  <c r="O57" i="11"/>
  <c r="J68" i="19"/>
  <c r="K68" i="19"/>
  <c r="L68" i="19"/>
  <c r="N68" i="19" s="1"/>
  <c r="M68" i="19"/>
  <c r="D68" i="19"/>
  <c r="C68" i="19"/>
  <c r="B68" i="19"/>
  <c r="N10" i="3" l="1"/>
  <c r="O10" i="3"/>
  <c r="N11" i="3"/>
  <c r="O11" i="3" s="1"/>
  <c r="F12" i="3"/>
  <c r="B13" i="3"/>
  <c r="B12" i="3" s="1"/>
  <c r="C13" i="3"/>
  <c r="C12" i="3" s="1"/>
  <c r="D13" i="3"/>
  <c r="D12" i="3" s="1"/>
  <c r="E13" i="3"/>
  <c r="E12" i="3" s="1"/>
  <c r="F13" i="3"/>
  <c r="G13" i="3"/>
  <c r="G12" i="3" s="1"/>
  <c r="H13" i="3"/>
  <c r="I13" i="3"/>
  <c r="I12" i="3" s="1"/>
  <c r="J13" i="3"/>
  <c r="J12" i="3" s="1"/>
  <c r="K13" i="3"/>
  <c r="K12" i="3" s="1"/>
  <c r="L13" i="3"/>
  <c r="L12" i="3" s="1"/>
  <c r="M13" i="3"/>
  <c r="M12" i="3" s="1"/>
  <c r="N16" i="3"/>
  <c r="O16" i="3" s="1"/>
  <c r="N17" i="3"/>
  <c r="O17" i="3" s="1"/>
  <c r="F18" i="3"/>
  <c r="B19" i="3"/>
  <c r="B18" i="3" s="1"/>
  <c r="C19" i="3"/>
  <c r="C18" i="3" s="1"/>
  <c r="D19" i="3"/>
  <c r="D18" i="3" s="1"/>
  <c r="E19" i="3"/>
  <c r="E18" i="3" s="1"/>
  <c r="F19" i="3"/>
  <c r="G19" i="3"/>
  <c r="G18" i="3" s="1"/>
  <c r="H19" i="3"/>
  <c r="H18" i="3" s="1"/>
  <c r="I19" i="3"/>
  <c r="I18" i="3" s="1"/>
  <c r="J19" i="3"/>
  <c r="J18" i="3" s="1"/>
  <c r="K19" i="3"/>
  <c r="K18" i="3" s="1"/>
  <c r="L19" i="3"/>
  <c r="L18" i="3" s="1"/>
  <c r="M19" i="3"/>
  <c r="M18" i="3" s="1"/>
  <c r="N22" i="3"/>
  <c r="O22" i="3"/>
  <c r="N23" i="3"/>
  <c r="O23" i="3" s="1"/>
  <c r="C24" i="3"/>
  <c r="H24" i="3"/>
  <c r="B25" i="3"/>
  <c r="B24" i="3" s="1"/>
  <c r="C25" i="3"/>
  <c r="D25" i="3"/>
  <c r="E25" i="3"/>
  <c r="E24" i="3" s="1"/>
  <c r="F25" i="3"/>
  <c r="F24" i="3" s="1"/>
  <c r="G25" i="3"/>
  <c r="G24" i="3" s="1"/>
  <c r="H25" i="3"/>
  <c r="I26" i="3" s="1"/>
  <c r="I25" i="3"/>
  <c r="I24" i="3" s="1"/>
  <c r="J25" i="3"/>
  <c r="J24" i="3" s="1"/>
  <c r="K25" i="3"/>
  <c r="K24" i="3" s="1"/>
  <c r="L25" i="3"/>
  <c r="L24" i="3" s="1"/>
  <c r="M25" i="3"/>
  <c r="M24" i="3" s="1"/>
  <c r="N28" i="3"/>
  <c r="O28" i="3" s="1"/>
  <c r="N29" i="3"/>
  <c r="O29" i="3" s="1"/>
  <c r="M30" i="3"/>
  <c r="B31" i="3"/>
  <c r="B30" i="3" s="1"/>
  <c r="C31" i="3"/>
  <c r="C30" i="3" s="1"/>
  <c r="D31" i="3"/>
  <c r="D30" i="3" s="1"/>
  <c r="E31" i="3"/>
  <c r="E30" i="3" s="1"/>
  <c r="F31" i="3"/>
  <c r="F30" i="3" s="1"/>
  <c r="G31" i="3"/>
  <c r="G30" i="3" s="1"/>
  <c r="H31" i="3"/>
  <c r="I31" i="3"/>
  <c r="I30" i="3" s="1"/>
  <c r="J31" i="3"/>
  <c r="J30" i="3" s="1"/>
  <c r="K31" i="3"/>
  <c r="K30" i="3" s="1"/>
  <c r="L31" i="3"/>
  <c r="L30" i="3" s="1"/>
  <c r="M31" i="3"/>
  <c r="N34" i="3"/>
  <c r="O34" i="3" s="1"/>
  <c r="N35" i="3"/>
  <c r="O35" i="3" s="1"/>
  <c r="D36" i="3"/>
  <c r="B37" i="3"/>
  <c r="B36" i="3" s="1"/>
  <c r="C37" i="3"/>
  <c r="C36" i="3" s="1"/>
  <c r="D37" i="3"/>
  <c r="E37" i="3"/>
  <c r="E36" i="3" s="1"/>
  <c r="F37" i="3"/>
  <c r="F36" i="3" s="1"/>
  <c r="G37" i="3"/>
  <c r="G36" i="3" s="1"/>
  <c r="H37" i="3"/>
  <c r="I37" i="3"/>
  <c r="I36" i="3" s="1"/>
  <c r="J37" i="3"/>
  <c r="J36" i="3" s="1"/>
  <c r="K37" i="3"/>
  <c r="K36" i="3" s="1"/>
  <c r="L37" i="3"/>
  <c r="L36" i="3" s="1"/>
  <c r="M37" i="3"/>
  <c r="M36" i="3" s="1"/>
  <c r="N40" i="3"/>
  <c r="O40" i="3" s="1"/>
  <c r="N41" i="3"/>
  <c r="O41" i="3"/>
  <c r="I42" i="3"/>
  <c r="B43" i="3"/>
  <c r="B42" i="3" s="1"/>
  <c r="C43" i="3"/>
  <c r="C42" i="3" s="1"/>
  <c r="D43" i="3"/>
  <c r="D42" i="3" s="1"/>
  <c r="E43" i="3"/>
  <c r="E42" i="3" s="1"/>
  <c r="F43" i="3"/>
  <c r="F42" i="3" s="1"/>
  <c r="G43" i="3"/>
  <c r="G42" i="3" s="1"/>
  <c r="H43" i="3"/>
  <c r="I43" i="3"/>
  <c r="J43" i="3"/>
  <c r="J42" i="3" s="1"/>
  <c r="K43" i="3"/>
  <c r="K42" i="3" s="1"/>
  <c r="L43" i="3"/>
  <c r="L42" i="3" s="1"/>
  <c r="M43" i="3"/>
  <c r="M42" i="3" s="1"/>
  <c r="N46" i="3"/>
  <c r="O46" i="3" s="1"/>
  <c r="N47" i="3"/>
  <c r="O47" i="3" s="1"/>
  <c r="B48" i="3"/>
  <c r="J48" i="3"/>
  <c r="K48" i="3"/>
  <c r="B49" i="3"/>
  <c r="C49" i="3"/>
  <c r="C48" i="3" s="1"/>
  <c r="D49" i="3"/>
  <c r="E49" i="3"/>
  <c r="E48" i="3" s="1"/>
  <c r="F49" i="3"/>
  <c r="F48" i="3" s="1"/>
  <c r="G49" i="3"/>
  <c r="G48" i="3" s="1"/>
  <c r="H49" i="3"/>
  <c r="I49" i="3"/>
  <c r="I48" i="3" s="1"/>
  <c r="J49" i="3"/>
  <c r="K49" i="3"/>
  <c r="L49" i="3"/>
  <c r="L48" i="3" s="1"/>
  <c r="M49" i="3"/>
  <c r="M48" i="3" s="1"/>
  <c r="N52" i="3"/>
  <c r="O52" i="3" s="1"/>
  <c r="N53" i="3"/>
  <c r="O53" i="3"/>
  <c r="D54" i="3"/>
  <c r="L54" i="3"/>
  <c r="B55" i="3"/>
  <c r="B54" i="3" s="1"/>
  <c r="C55" i="3"/>
  <c r="C54" i="3" s="1"/>
  <c r="D55" i="3"/>
  <c r="E55" i="3"/>
  <c r="E54" i="3" s="1"/>
  <c r="F55" i="3"/>
  <c r="F54" i="3" s="1"/>
  <c r="G55" i="3"/>
  <c r="G54" i="3" s="1"/>
  <c r="H55" i="3"/>
  <c r="I55" i="3"/>
  <c r="I54" i="3" s="1"/>
  <c r="J55" i="3"/>
  <c r="K55" i="3"/>
  <c r="K54" i="3" s="1"/>
  <c r="L55" i="3"/>
  <c r="M55" i="3"/>
  <c r="M54" i="3" s="1"/>
  <c r="N58" i="3"/>
  <c r="O58" i="3" s="1"/>
  <c r="N59" i="3"/>
  <c r="O59" i="3" s="1"/>
  <c r="H60" i="3"/>
  <c r="B61" i="3"/>
  <c r="C61" i="3"/>
  <c r="C60" i="3" s="1"/>
  <c r="D61" i="3"/>
  <c r="D60" i="3" s="1"/>
  <c r="E61" i="3"/>
  <c r="E60" i="3" s="1"/>
  <c r="F61" i="3"/>
  <c r="F60" i="3" s="1"/>
  <c r="G61" i="3"/>
  <c r="G60" i="3" s="1"/>
  <c r="H61" i="3"/>
  <c r="I61" i="3"/>
  <c r="I60" i="3" s="1"/>
  <c r="J61" i="3"/>
  <c r="J60" i="3" s="1"/>
  <c r="K61" i="3"/>
  <c r="K60" i="3" s="1"/>
  <c r="L61" i="3"/>
  <c r="L60" i="3" s="1"/>
  <c r="M61" i="3"/>
  <c r="M60" i="3" s="1"/>
  <c r="N64" i="3"/>
  <c r="O64" i="3" s="1"/>
  <c r="N65" i="3"/>
  <c r="O65" i="3"/>
  <c r="B66" i="3"/>
  <c r="J66" i="3"/>
  <c r="B67" i="3"/>
  <c r="C67" i="3"/>
  <c r="C66" i="3" s="1"/>
  <c r="D67" i="3"/>
  <c r="D66" i="3" s="1"/>
  <c r="E67" i="3"/>
  <c r="E66" i="3" s="1"/>
  <c r="F67" i="3"/>
  <c r="F66" i="3" s="1"/>
  <c r="G67" i="3"/>
  <c r="G66" i="3" s="1"/>
  <c r="H67" i="3"/>
  <c r="N67" i="3" s="1"/>
  <c r="I67" i="3"/>
  <c r="I66" i="3" s="1"/>
  <c r="J67" i="3"/>
  <c r="K67" i="3"/>
  <c r="K66" i="3" s="1"/>
  <c r="L67" i="3"/>
  <c r="L66" i="3" s="1"/>
  <c r="M67" i="3"/>
  <c r="M66" i="3" s="1"/>
  <c r="N70" i="3"/>
  <c r="O70" i="3" s="1"/>
  <c r="N71" i="3"/>
  <c r="O71" i="3" s="1"/>
  <c r="B72" i="3"/>
  <c r="B73" i="3"/>
  <c r="C73" i="3"/>
  <c r="C72" i="3" s="1"/>
  <c r="D73" i="3"/>
  <c r="D72" i="3" s="1"/>
  <c r="E73" i="3"/>
  <c r="E72" i="3" s="1"/>
  <c r="F73" i="3"/>
  <c r="F72" i="3" s="1"/>
  <c r="G73" i="3"/>
  <c r="G72" i="3" s="1"/>
  <c r="H73" i="3"/>
  <c r="I72" i="3"/>
  <c r="J73" i="3"/>
  <c r="J72" i="3" s="1"/>
  <c r="K73" i="3"/>
  <c r="K72" i="3" s="1"/>
  <c r="L73" i="3"/>
  <c r="L72" i="3" s="1"/>
  <c r="M73" i="3"/>
  <c r="M72" i="3" s="1"/>
  <c r="O67" i="3" l="1"/>
  <c r="D34" i="2"/>
  <c r="H48" i="3"/>
  <c r="I50" i="3"/>
  <c r="I62" i="3"/>
  <c r="N55" i="3"/>
  <c r="O55" i="3" s="1"/>
  <c r="I44" i="3"/>
  <c r="H42" i="3"/>
  <c r="N31" i="3"/>
  <c r="O31" i="3" s="1"/>
  <c r="N25" i="3"/>
  <c r="O25" i="3" s="1"/>
  <c r="N49" i="3"/>
  <c r="O49" i="3" s="1"/>
  <c r="H12" i="3"/>
  <c r="I14" i="3"/>
  <c r="I20" i="3"/>
  <c r="H72" i="3"/>
  <c r="I75" i="3"/>
  <c r="H54" i="3"/>
  <c r="I56" i="3"/>
  <c r="H36" i="3"/>
  <c r="I38" i="3"/>
  <c r="I68" i="3"/>
  <c r="H66" i="3"/>
  <c r="N61" i="3"/>
  <c r="H30" i="3"/>
  <c r="I32" i="3"/>
  <c r="N73" i="3"/>
  <c r="O73" i="3" s="1"/>
  <c r="J54" i="3"/>
  <c r="B60" i="3"/>
  <c r="N37" i="3"/>
  <c r="O37" i="3" s="1"/>
  <c r="N13" i="3"/>
  <c r="O13" i="3" s="1"/>
  <c r="D48" i="3"/>
  <c r="N43" i="3"/>
  <c r="O43" i="3" s="1"/>
  <c r="D24" i="3"/>
  <c r="N19" i="3"/>
  <c r="O19" i="3" s="1"/>
  <c r="C63" i="2"/>
  <c r="D74" i="9"/>
  <c r="E74" i="9"/>
  <c r="N57" i="11"/>
  <c r="H67" i="19"/>
  <c r="I67" i="19"/>
  <c r="M67" i="19"/>
  <c r="C67" i="19"/>
  <c r="L67" i="19" s="1"/>
  <c r="N67" i="19" s="1"/>
  <c r="B67" i="19"/>
  <c r="J67" i="19" s="1"/>
  <c r="CM9" i="1"/>
  <c r="CM10" i="1"/>
  <c r="CM12" i="1" s="1"/>
  <c r="M66" i="19"/>
  <c r="J66" i="19"/>
  <c r="C66" i="19"/>
  <c r="L66" i="19" s="1"/>
  <c r="N66" i="19" s="1"/>
  <c r="B66" i="19"/>
  <c r="B74" i="9" s="1"/>
  <c r="M12" i="7"/>
  <c r="M13" i="7" s="1"/>
  <c r="M14" i="7" s="1"/>
  <c r="O30" i="18"/>
  <c r="J65" i="19"/>
  <c r="K65" i="19"/>
  <c r="L65" i="19"/>
  <c r="M65" i="19"/>
  <c r="N65" i="19"/>
  <c r="N57" i="12"/>
  <c r="E73" i="9"/>
  <c r="D73" i="9"/>
  <c r="N63" i="19"/>
  <c r="K63" i="19"/>
  <c r="L63" i="19"/>
  <c r="G63" i="19"/>
  <c r="H63" i="19"/>
  <c r="I63" i="19"/>
  <c r="M63" i="19"/>
  <c r="J63" i="19"/>
  <c r="B63" i="19"/>
  <c r="CL10" i="1"/>
  <c r="CL12" i="1" s="1"/>
  <c r="CL9" i="1"/>
  <c r="D31" i="5"/>
  <c r="C31" i="5"/>
  <c r="F62" i="2"/>
  <c r="K62" i="19"/>
  <c r="M62" i="19"/>
  <c r="J62" i="19"/>
  <c r="B62" i="19"/>
  <c r="C62" i="19"/>
  <c r="C73" i="9" s="1"/>
  <c r="N54" i="11"/>
  <c r="N55" i="11"/>
  <c r="K61" i="19"/>
  <c r="M61" i="19"/>
  <c r="C61" i="19"/>
  <c r="B61" i="19"/>
  <c r="E72" i="9"/>
  <c r="D72" i="9"/>
  <c r="C57" i="11"/>
  <c r="D57" i="11"/>
  <c r="E57" i="11"/>
  <c r="F57" i="11"/>
  <c r="G57" i="11"/>
  <c r="H57" i="11"/>
  <c r="I57" i="11"/>
  <c r="J57" i="11"/>
  <c r="K57" i="11"/>
  <c r="L57" i="11"/>
  <c r="M57" i="11"/>
  <c r="B57" i="11"/>
  <c r="H60" i="19"/>
  <c r="I60" i="19"/>
  <c r="M60" i="19"/>
  <c r="C60" i="19"/>
  <c r="K60" i="19" s="1"/>
  <c r="B60" i="19"/>
  <c r="J60" i="19" s="1"/>
  <c r="CK10" i="1"/>
  <c r="CK9" i="1"/>
  <c r="N33" i="18"/>
  <c r="M46" i="17"/>
  <c r="L46" i="17"/>
  <c r="K46" i="17"/>
  <c r="J46" i="17"/>
  <c r="I46" i="17"/>
  <c r="H46" i="17"/>
  <c r="G46" i="17"/>
  <c r="F46" i="17"/>
  <c r="E46" i="17"/>
  <c r="D46" i="17"/>
  <c r="C46" i="17"/>
  <c r="B46" i="17"/>
  <c r="N44" i="17"/>
  <c r="N43" i="17"/>
  <c r="N33" i="16"/>
  <c r="N33" i="15"/>
  <c r="M59" i="14"/>
  <c r="L59" i="14"/>
  <c r="K59" i="14"/>
  <c r="J59" i="14"/>
  <c r="I59" i="14"/>
  <c r="H59" i="14"/>
  <c r="G59" i="14"/>
  <c r="F59" i="14"/>
  <c r="E59" i="14"/>
  <c r="D59" i="14"/>
  <c r="C59" i="14"/>
  <c r="B59" i="14"/>
  <c r="N57" i="14"/>
  <c r="N56" i="14"/>
  <c r="N33" i="13"/>
  <c r="M57" i="12"/>
  <c r="L57" i="12"/>
  <c r="K57" i="12"/>
  <c r="J57" i="12"/>
  <c r="I57" i="12"/>
  <c r="H57" i="12"/>
  <c r="G57" i="12"/>
  <c r="F57" i="12"/>
  <c r="E57" i="12"/>
  <c r="D57" i="12"/>
  <c r="C57" i="12"/>
  <c r="B57" i="12"/>
  <c r="N55" i="12"/>
  <c r="N54" i="12"/>
  <c r="M59" i="19"/>
  <c r="C59" i="19"/>
  <c r="K59" i="19" s="1"/>
  <c r="B59" i="19"/>
  <c r="J59" i="19" s="1"/>
  <c r="K57" i="19"/>
  <c r="L57" i="19"/>
  <c r="M58" i="19"/>
  <c r="C58" i="19"/>
  <c r="C72" i="9"/>
  <c r="B58" i="19"/>
  <c r="L61" i="8"/>
  <c r="L62" i="8" s="1"/>
  <c r="L63" i="8" s="1"/>
  <c r="L64" i="8" s="1"/>
  <c r="L65" i="8" s="1"/>
  <c r="L66" i="8" s="1"/>
  <c r="L67" i="8" s="1"/>
  <c r="L68" i="8" s="1"/>
  <c r="L69" i="8" s="1"/>
  <c r="L70" i="8" s="1"/>
  <c r="L36" i="8"/>
  <c r="L37" i="8" s="1"/>
  <c r="L38" i="8" s="1"/>
  <c r="L39" i="8" s="1"/>
  <c r="L40" i="8" s="1"/>
  <c r="L41" i="8" s="1"/>
  <c r="L42" i="8" s="1"/>
  <c r="L43" i="8" s="1"/>
  <c r="L44" i="8" s="1"/>
  <c r="L45" i="8" s="1"/>
  <c r="L12" i="8"/>
  <c r="L13" i="8" s="1"/>
  <c r="L14" i="8" s="1"/>
  <c r="L15" i="8" s="1"/>
  <c r="L16" i="8" s="1"/>
  <c r="L17" i="8" s="1"/>
  <c r="L18" i="8" s="1"/>
  <c r="L19" i="8" s="1"/>
  <c r="L20" i="8" s="1"/>
  <c r="L21" i="8" s="1"/>
  <c r="E62" i="2"/>
  <c r="L58" i="19"/>
  <c r="N58" i="19" s="1"/>
  <c r="N12" i="18"/>
  <c r="O12" i="18"/>
  <c r="L40" i="17"/>
  <c r="M40" i="17"/>
  <c r="L53" i="14"/>
  <c r="M53" i="14"/>
  <c r="L51" i="12"/>
  <c r="M51" i="12"/>
  <c r="L51" i="11"/>
  <c r="M51" i="11"/>
  <c r="D71" i="9"/>
  <c r="E71" i="9"/>
  <c r="H57" i="19"/>
  <c r="I57" i="19"/>
  <c r="N57" i="19"/>
  <c r="J57" i="19"/>
  <c r="M57" i="19"/>
  <c r="J56" i="19"/>
  <c r="K56" i="19"/>
  <c r="L56" i="19"/>
  <c r="N56" i="19"/>
  <c r="M56" i="19"/>
  <c r="CJ10" i="1"/>
  <c r="CJ9" i="1"/>
  <c r="N30" i="18"/>
  <c r="K40" i="17"/>
  <c r="K53" i="14"/>
  <c r="K51" i="12"/>
  <c r="K51" i="11"/>
  <c r="M55" i="19"/>
  <c r="C55" i="19"/>
  <c r="C71" i="9" s="1"/>
  <c r="B55" i="19"/>
  <c r="B71" i="9" s="1"/>
  <c r="K55" i="19"/>
  <c r="J40" i="17"/>
  <c r="J53" i="14"/>
  <c r="J51" i="12"/>
  <c r="J51" i="11"/>
  <c r="E70" i="9"/>
  <c r="I73" i="9" s="1"/>
  <c r="I54" i="19"/>
  <c r="D54" i="19"/>
  <c r="M54" i="19"/>
  <c r="C54" i="19"/>
  <c r="K54" i="19" s="1"/>
  <c r="B54" i="19"/>
  <c r="J54" i="19" s="1"/>
  <c r="CI10" i="1"/>
  <c r="CI9" i="1"/>
  <c r="CI12" i="1" s="1"/>
  <c r="H54" i="19"/>
  <c r="D70" i="9"/>
  <c r="H73" i="9" s="1"/>
  <c r="M73" i="9" s="1"/>
  <c r="I40" i="17"/>
  <c r="I53" i="14"/>
  <c r="I51" i="12"/>
  <c r="I51" i="11"/>
  <c r="M53" i="19"/>
  <c r="C53" i="19"/>
  <c r="K53" i="19" s="1"/>
  <c r="B53" i="19"/>
  <c r="L53" i="19" s="1"/>
  <c r="N53" i="19" s="1"/>
  <c r="G40" i="17"/>
  <c r="H40" i="17"/>
  <c r="G53" i="14"/>
  <c r="H53" i="14"/>
  <c r="G51" i="12"/>
  <c r="H51" i="12"/>
  <c r="G51" i="11"/>
  <c r="H51" i="11"/>
  <c r="M52" i="19"/>
  <c r="K52" i="19"/>
  <c r="B52" i="19"/>
  <c r="D69" i="9"/>
  <c r="J50" i="19"/>
  <c r="K50" i="19"/>
  <c r="L50" i="19"/>
  <c r="M50" i="19"/>
  <c r="N50" i="19"/>
  <c r="H50" i="19"/>
  <c r="I50" i="19"/>
  <c r="J52" i="19"/>
  <c r="L52" i="19"/>
  <c r="N52" i="19"/>
  <c r="CH10" i="1"/>
  <c r="CH12" i="1" s="1"/>
  <c r="CH9" i="1"/>
  <c r="D30" i="5"/>
  <c r="C30" i="5"/>
  <c r="F40" i="17"/>
  <c r="F53" i="14"/>
  <c r="F51" i="12"/>
  <c r="F48" i="11"/>
  <c r="F51" i="11"/>
  <c r="D68" i="9"/>
  <c r="H71" i="9" s="1"/>
  <c r="M49" i="19"/>
  <c r="C49" i="19"/>
  <c r="K49" i="19" s="1"/>
  <c r="B49" i="19"/>
  <c r="J49" i="19" s="1"/>
  <c r="L49" i="19"/>
  <c r="N49" i="19" s="1"/>
  <c r="E40" i="17"/>
  <c r="D40" i="17"/>
  <c r="C40" i="17"/>
  <c r="B40" i="17"/>
  <c r="N38" i="17"/>
  <c r="O38" i="17"/>
  <c r="N37" i="17"/>
  <c r="O37" i="17"/>
  <c r="N30" i="16"/>
  <c r="O30" i="16"/>
  <c r="N30" i="15"/>
  <c r="O30" i="15"/>
  <c r="E53" i="14"/>
  <c r="D53" i="14"/>
  <c r="C53" i="14"/>
  <c r="B53" i="14"/>
  <c r="N51" i="14"/>
  <c r="O51" i="14"/>
  <c r="N50" i="14"/>
  <c r="O50" i="14"/>
  <c r="N30" i="13"/>
  <c r="O30" i="13"/>
  <c r="E51" i="12"/>
  <c r="D51" i="12"/>
  <c r="C51" i="12"/>
  <c r="B51" i="12"/>
  <c r="N49" i="12"/>
  <c r="O49" i="12"/>
  <c r="N48" i="12"/>
  <c r="O48" i="12"/>
  <c r="E51" i="11"/>
  <c r="D51" i="11"/>
  <c r="C51" i="11"/>
  <c r="B51" i="11"/>
  <c r="N49" i="11"/>
  <c r="O49" i="11"/>
  <c r="N48" i="11"/>
  <c r="O48" i="11"/>
  <c r="M48" i="19"/>
  <c r="M47" i="19"/>
  <c r="H47" i="19"/>
  <c r="C48" i="19"/>
  <c r="C47" i="19"/>
  <c r="B48" i="19"/>
  <c r="B69" i="9" s="1"/>
  <c r="B47" i="19"/>
  <c r="J47" i="19" s="1"/>
  <c r="CG10" i="1"/>
  <c r="CG9" i="1"/>
  <c r="CG12" i="1" s="1"/>
  <c r="J48" i="19"/>
  <c r="N40" i="17"/>
  <c r="O40" i="17"/>
  <c r="N53" i="14"/>
  <c r="O53" i="14"/>
  <c r="N51" i="12"/>
  <c r="O51" i="12"/>
  <c r="N51" i="11"/>
  <c r="O51" i="11"/>
  <c r="E46" i="19"/>
  <c r="C45" i="19"/>
  <c r="C46" i="19"/>
  <c r="C69" i="9" s="1"/>
  <c r="B46" i="19"/>
  <c r="M45" i="19"/>
  <c r="B45" i="19"/>
  <c r="K61" i="8"/>
  <c r="K62" i="8" s="1"/>
  <c r="K63" i="8" s="1"/>
  <c r="K64" i="8" s="1"/>
  <c r="K65" i="8" s="1"/>
  <c r="K66" i="8" s="1"/>
  <c r="K67" i="8" s="1"/>
  <c r="K68" i="8" s="1"/>
  <c r="K69" i="8" s="1"/>
  <c r="K70" i="8" s="1"/>
  <c r="K71" i="8" s="1"/>
  <c r="K72" i="8" s="1"/>
  <c r="K36" i="8"/>
  <c r="K37" i="8" s="1"/>
  <c r="K38" i="8" s="1"/>
  <c r="K39" i="8" s="1"/>
  <c r="K40" i="8" s="1"/>
  <c r="K41" i="8" s="1"/>
  <c r="K42" i="8" s="1"/>
  <c r="K43" i="8" s="1"/>
  <c r="K44" i="8" s="1"/>
  <c r="K45" i="8" s="1"/>
  <c r="K46" i="8" s="1"/>
  <c r="K47" i="8" s="1"/>
  <c r="B27" i="18"/>
  <c r="N27" i="18"/>
  <c r="O27" i="18"/>
  <c r="N32" i="17"/>
  <c r="O32" i="17"/>
  <c r="B34" i="17"/>
  <c r="C34" i="17"/>
  <c r="D34" i="17"/>
  <c r="E34" i="17"/>
  <c r="F34" i="17"/>
  <c r="G34" i="17"/>
  <c r="H34" i="17"/>
  <c r="I34" i="17"/>
  <c r="J34" i="17"/>
  <c r="K34" i="17"/>
  <c r="L34" i="17"/>
  <c r="M34" i="17"/>
  <c r="N31" i="17"/>
  <c r="O31" i="17"/>
  <c r="N27" i="16"/>
  <c r="O27" i="16"/>
  <c r="N27" i="15"/>
  <c r="O27" i="15"/>
  <c r="N45" i="14"/>
  <c r="O45" i="14"/>
  <c r="N44" i="14"/>
  <c r="O44" i="14"/>
  <c r="B47" i="14"/>
  <c r="C47" i="14"/>
  <c r="D47" i="14"/>
  <c r="E47" i="14"/>
  <c r="F47" i="14"/>
  <c r="G47" i="14"/>
  <c r="H47" i="14"/>
  <c r="I47" i="14"/>
  <c r="J47" i="14"/>
  <c r="K47" i="14"/>
  <c r="L47" i="14"/>
  <c r="M47" i="14"/>
  <c r="N27" i="13"/>
  <c r="O27" i="13"/>
  <c r="B45" i="12"/>
  <c r="C45" i="12"/>
  <c r="D45" i="12"/>
  <c r="E45" i="12"/>
  <c r="F45" i="12"/>
  <c r="G45" i="12"/>
  <c r="H45" i="12"/>
  <c r="I45" i="12"/>
  <c r="J45" i="12"/>
  <c r="K45" i="12"/>
  <c r="L45" i="12"/>
  <c r="M45" i="12"/>
  <c r="B45" i="11"/>
  <c r="C45" i="11"/>
  <c r="D45" i="11"/>
  <c r="E45" i="11"/>
  <c r="F45" i="11"/>
  <c r="G45" i="11"/>
  <c r="H45" i="11"/>
  <c r="I45" i="11"/>
  <c r="J45" i="11"/>
  <c r="K45" i="11"/>
  <c r="L45" i="11"/>
  <c r="M45" i="11"/>
  <c r="D33" i="19"/>
  <c r="D65" i="9"/>
  <c r="H67" i="9" s="1"/>
  <c r="D40" i="19"/>
  <c r="D66" i="9"/>
  <c r="D67" i="9"/>
  <c r="E32" i="19"/>
  <c r="E64" i="9"/>
  <c r="E65" i="9"/>
  <c r="E40" i="19"/>
  <c r="E66" i="9"/>
  <c r="I67" i="9" s="1"/>
  <c r="E67" i="9"/>
  <c r="B32" i="19"/>
  <c r="J32" i="19"/>
  <c r="B33" i="19"/>
  <c r="B34" i="19"/>
  <c r="J34" i="19" s="1"/>
  <c r="B35" i="19"/>
  <c r="J35" i="19" s="1"/>
  <c r="B36" i="19"/>
  <c r="B37" i="19"/>
  <c r="J37" i="19" s="1"/>
  <c r="B39" i="19"/>
  <c r="B40" i="19"/>
  <c r="J40" i="19" s="1"/>
  <c r="B42" i="19"/>
  <c r="B44" i="19"/>
  <c r="B67" i="9" s="1"/>
  <c r="C32" i="19"/>
  <c r="C33" i="19"/>
  <c r="K33" i="19"/>
  <c r="C34" i="19"/>
  <c r="C35" i="19"/>
  <c r="K35" i="19" s="1"/>
  <c r="C36" i="19"/>
  <c r="K36" i="19"/>
  <c r="C37" i="19"/>
  <c r="L37" i="19" s="1"/>
  <c r="N37" i="19" s="1"/>
  <c r="C39" i="19"/>
  <c r="C40" i="19"/>
  <c r="K40" i="19" s="1"/>
  <c r="C42" i="19"/>
  <c r="C44" i="19"/>
  <c r="K44" i="19" s="1"/>
  <c r="H44" i="19"/>
  <c r="M44" i="19"/>
  <c r="I44" i="19"/>
  <c r="CF9" i="1"/>
  <c r="CI26" i="1" s="1"/>
  <c r="CF10" i="1"/>
  <c r="CC9" i="1"/>
  <c r="CD9" i="1"/>
  <c r="CE9" i="1"/>
  <c r="BZ9" i="1"/>
  <c r="CA9" i="1"/>
  <c r="CB9" i="1"/>
  <c r="B63" i="9" s="1"/>
  <c r="CC10" i="1"/>
  <c r="CD10" i="1"/>
  <c r="CE10" i="1"/>
  <c r="BY10" i="1"/>
  <c r="BZ10" i="1"/>
  <c r="CA10" i="1"/>
  <c r="CB10" i="1"/>
  <c r="K12" i="7"/>
  <c r="J61" i="8"/>
  <c r="J62" i="8"/>
  <c r="J63" i="8" s="1"/>
  <c r="J64" i="8" s="1"/>
  <c r="J65" i="8" s="1"/>
  <c r="J66" i="8" s="1"/>
  <c r="J67" i="8" s="1"/>
  <c r="J68" i="8" s="1"/>
  <c r="J69" i="8" s="1"/>
  <c r="J70" i="8" s="1"/>
  <c r="J71" i="8" s="1"/>
  <c r="J72" i="8" s="1"/>
  <c r="J36" i="8"/>
  <c r="J37" i="8" s="1"/>
  <c r="J38" i="8" s="1"/>
  <c r="J39" i="8" s="1"/>
  <c r="J40" i="8" s="1"/>
  <c r="J41" i="8" s="1"/>
  <c r="J42" i="8" s="1"/>
  <c r="J43" i="8" s="1"/>
  <c r="J44" i="8" s="1"/>
  <c r="J45" i="8" s="1"/>
  <c r="J46" i="8" s="1"/>
  <c r="J47" i="8" s="1"/>
  <c r="J12" i="8"/>
  <c r="J13" i="8" s="1"/>
  <c r="J14" i="8" s="1"/>
  <c r="J15" i="8" s="1"/>
  <c r="J16" i="8" s="1"/>
  <c r="J17" i="8" s="1"/>
  <c r="J18" i="8" s="1"/>
  <c r="J19" i="8" s="1"/>
  <c r="J20" i="8" s="1"/>
  <c r="J21" i="8" s="1"/>
  <c r="J22" i="8" s="1"/>
  <c r="J23" i="8" s="1"/>
  <c r="C31" i="20" s="1"/>
  <c r="D59" i="2"/>
  <c r="J43" i="19"/>
  <c r="K43" i="19"/>
  <c r="L43" i="19"/>
  <c r="N43" i="19"/>
  <c r="M43" i="19"/>
  <c r="M42" i="19"/>
  <c r="J41" i="19"/>
  <c r="K41" i="19"/>
  <c r="L41" i="19"/>
  <c r="M41" i="19"/>
  <c r="H37" i="19"/>
  <c r="I37" i="19"/>
  <c r="M40" i="19"/>
  <c r="N42" i="12"/>
  <c r="O42" i="12"/>
  <c r="N42" i="11"/>
  <c r="O42" i="11"/>
  <c r="M39" i="19"/>
  <c r="K39" i="19"/>
  <c r="G42" i="2"/>
  <c r="G43" i="2"/>
  <c r="G44" i="2"/>
  <c r="G45" i="2"/>
  <c r="G46" i="2"/>
  <c r="G47" i="2"/>
  <c r="G48" i="2"/>
  <c r="G49" i="2"/>
  <c r="G50" i="2"/>
  <c r="G51" i="2"/>
  <c r="G52" i="2"/>
  <c r="G41" i="2"/>
  <c r="N43" i="12"/>
  <c r="O43" i="12"/>
  <c r="N43" i="11"/>
  <c r="O43" i="11"/>
  <c r="M37" i="19"/>
  <c r="B12" i="8"/>
  <c r="B13" i="8" s="1"/>
  <c r="C12" i="8"/>
  <c r="C13" i="8" s="1"/>
  <c r="C14" i="8" s="1"/>
  <c r="C15" i="8" s="1"/>
  <c r="C16" i="8" s="1"/>
  <c r="C17" i="8" s="1"/>
  <c r="F12" i="8"/>
  <c r="F13" i="8" s="1"/>
  <c r="F14" i="8" s="1"/>
  <c r="F15" i="8" s="1"/>
  <c r="F16" i="8" s="1"/>
  <c r="F17" i="8" s="1"/>
  <c r="F18" i="8" s="1"/>
  <c r="F19" i="8" s="1"/>
  <c r="F20" i="8" s="1"/>
  <c r="F21" i="8" s="1"/>
  <c r="F22" i="8" s="1"/>
  <c r="F23" i="8" s="1"/>
  <c r="B36" i="8"/>
  <c r="C36" i="8"/>
  <c r="C37" i="8" s="1"/>
  <c r="C38" i="8" s="1"/>
  <c r="C39" i="8" s="1"/>
  <c r="C40" i="8" s="1"/>
  <c r="C41" i="8" s="1"/>
  <c r="C42" i="8" s="1"/>
  <c r="C43" i="8" s="1"/>
  <c r="C44" i="8" s="1"/>
  <c r="C45" i="8" s="1"/>
  <c r="C46" i="8" s="1"/>
  <c r="C47" i="8" s="1"/>
  <c r="D36" i="8"/>
  <c r="D37" i="8" s="1"/>
  <c r="D38" i="8" s="1"/>
  <c r="D39" i="8" s="1"/>
  <c r="D40" i="8" s="1"/>
  <c r="D41" i="8" s="1"/>
  <c r="D42" i="8" s="1"/>
  <c r="D43" i="8" s="1"/>
  <c r="D44" i="8" s="1"/>
  <c r="D45" i="8" s="1"/>
  <c r="D46" i="8" s="1"/>
  <c r="D47" i="8" s="1"/>
  <c r="E36" i="8"/>
  <c r="E37" i="8" s="1"/>
  <c r="E38" i="8" s="1"/>
  <c r="E39" i="8" s="1"/>
  <c r="E40" i="8" s="1"/>
  <c r="E41" i="8" s="1"/>
  <c r="E42" i="8" s="1"/>
  <c r="E43" i="8" s="1"/>
  <c r="E44" i="8" s="1"/>
  <c r="E45" i="8" s="1"/>
  <c r="E46" i="8" s="1"/>
  <c r="E47" i="8" s="1"/>
  <c r="F36" i="8"/>
  <c r="F37" i="8" s="1"/>
  <c r="F38" i="8" s="1"/>
  <c r="F39" i="8" s="1"/>
  <c r="F40" i="8" s="1"/>
  <c r="F41" i="8" s="1"/>
  <c r="F42" i="8" s="1"/>
  <c r="F43" i="8" s="1"/>
  <c r="F44" i="8" s="1"/>
  <c r="F45" i="8" s="1"/>
  <c r="F46" i="8" s="1"/>
  <c r="F47" i="8" s="1"/>
  <c r="G36" i="8"/>
  <c r="G37" i="8" s="1"/>
  <c r="G38" i="8" s="1"/>
  <c r="G39" i="8" s="1"/>
  <c r="G40" i="8" s="1"/>
  <c r="G41" i="8" s="1"/>
  <c r="G42" i="8" s="1"/>
  <c r="G43" i="8" s="1"/>
  <c r="G44" i="8" s="1"/>
  <c r="G45" i="8" s="1"/>
  <c r="G46" i="8" s="1"/>
  <c r="G47" i="8" s="1"/>
  <c r="H36" i="8"/>
  <c r="H37" i="8" s="1"/>
  <c r="H38" i="8" s="1"/>
  <c r="H39" i="8" s="1"/>
  <c r="H40" i="8" s="1"/>
  <c r="H41" i="8" s="1"/>
  <c r="H42" i="8" s="1"/>
  <c r="H43" i="8" s="1"/>
  <c r="H44" i="8" s="1"/>
  <c r="H45" i="8" s="1"/>
  <c r="H46" i="8" s="1"/>
  <c r="H47" i="8" s="1"/>
  <c r="I36" i="8"/>
  <c r="I37" i="8" s="1"/>
  <c r="I38" i="8" s="1"/>
  <c r="I39" i="8" s="1"/>
  <c r="I40" i="8" s="1"/>
  <c r="I41" i="8" s="1"/>
  <c r="I42" i="8" s="1"/>
  <c r="I43" i="8" s="1"/>
  <c r="I44" i="8" s="1"/>
  <c r="I45" i="8" s="1"/>
  <c r="I46" i="8" s="1"/>
  <c r="I47" i="8" s="1"/>
  <c r="B37" i="8"/>
  <c r="B38" i="8" s="1"/>
  <c r="B39" i="8" s="1"/>
  <c r="B40" i="8" s="1"/>
  <c r="B41" i="8" s="1"/>
  <c r="B42" i="8" s="1"/>
  <c r="B43" i="8" s="1"/>
  <c r="B44" i="8" s="1"/>
  <c r="B45" i="8" s="1"/>
  <c r="B46" i="8" s="1"/>
  <c r="B47" i="8" s="1"/>
  <c r="B61" i="8"/>
  <c r="B62" i="8" s="1"/>
  <c r="B63" i="8" s="1"/>
  <c r="B64" i="8" s="1"/>
  <c r="B65" i="8" s="1"/>
  <c r="B66" i="8" s="1"/>
  <c r="B67" i="8" s="1"/>
  <c r="B68" i="8" s="1"/>
  <c r="B69" i="8" s="1"/>
  <c r="B70" i="8" s="1"/>
  <c r="B71" i="8" s="1"/>
  <c r="B72" i="8" s="1"/>
  <c r="C61" i="8"/>
  <c r="D61" i="8"/>
  <c r="D62" i="8" s="1"/>
  <c r="D63" i="8" s="1"/>
  <c r="D64" i="8" s="1"/>
  <c r="D65" i="8" s="1"/>
  <c r="D66" i="8" s="1"/>
  <c r="D67" i="8" s="1"/>
  <c r="D68" i="8" s="1"/>
  <c r="D69" i="8" s="1"/>
  <c r="D70" i="8" s="1"/>
  <c r="D71" i="8" s="1"/>
  <c r="D72" i="8" s="1"/>
  <c r="E61" i="8"/>
  <c r="E62" i="8" s="1"/>
  <c r="E63" i="8" s="1"/>
  <c r="E64" i="8" s="1"/>
  <c r="E65" i="8" s="1"/>
  <c r="E66" i="8" s="1"/>
  <c r="E67" i="8" s="1"/>
  <c r="E68" i="8" s="1"/>
  <c r="E69" i="8" s="1"/>
  <c r="E70" i="8" s="1"/>
  <c r="E71" i="8" s="1"/>
  <c r="E72" i="8" s="1"/>
  <c r="F61" i="8"/>
  <c r="F62" i="8" s="1"/>
  <c r="F63" i="8" s="1"/>
  <c r="F64" i="8" s="1"/>
  <c r="F65" i="8" s="1"/>
  <c r="F66" i="8" s="1"/>
  <c r="F67" i="8" s="1"/>
  <c r="F68" i="8" s="1"/>
  <c r="F69" i="8" s="1"/>
  <c r="F70" i="8" s="1"/>
  <c r="F71" i="8" s="1"/>
  <c r="F72" i="8" s="1"/>
  <c r="G61" i="8"/>
  <c r="G62" i="8" s="1"/>
  <c r="G63" i="8" s="1"/>
  <c r="G64" i="8" s="1"/>
  <c r="G65" i="8"/>
  <c r="G66" i="8" s="1"/>
  <c r="G67" i="8" s="1"/>
  <c r="G68" i="8" s="1"/>
  <c r="G69" i="8" s="1"/>
  <c r="G70" i="8" s="1"/>
  <c r="G71" i="8" s="1"/>
  <c r="G72" i="8" s="1"/>
  <c r="H61" i="8"/>
  <c r="H62" i="8" s="1"/>
  <c r="H63" i="8" s="1"/>
  <c r="H64" i="8" s="1"/>
  <c r="H65" i="8" s="1"/>
  <c r="H66" i="8" s="1"/>
  <c r="H67" i="8" s="1"/>
  <c r="H68" i="8" s="1"/>
  <c r="H69" i="8" s="1"/>
  <c r="H70" i="8" s="1"/>
  <c r="H71" i="8" s="1"/>
  <c r="H72" i="8" s="1"/>
  <c r="I61" i="8"/>
  <c r="I62" i="8" s="1"/>
  <c r="I63" i="8" s="1"/>
  <c r="I64" i="8" s="1"/>
  <c r="I65" i="8" s="1"/>
  <c r="I66" i="8" s="1"/>
  <c r="I67" i="8" s="1"/>
  <c r="I68" i="8" s="1"/>
  <c r="I69" i="8" s="1"/>
  <c r="I70" i="8" s="1"/>
  <c r="I71" i="8" s="1"/>
  <c r="I72" i="8" s="1"/>
  <c r="C62" i="8"/>
  <c r="C63" i="8" s="1"/>
  <c r="C64" i="8" s="1"/>
  <c r="C65" i="8" s="1"/>
  <c r="C66" i="8" s="1"/>
  <c r="C67" i="8" s="1"/>
  <c r="C68" i="8" s="1"/>
  <c r="C69" i="8" s="1"/>
  <c r="C70" i="8" s="1"/>
  <c r="C71" i="8" s="1"/>
  <c r="C72" i="8" s="1"/>
  <c r="C12" i="20"/>
  <c r="C13" i="20"/>
  <c r="C14" i="20"/>
  <c r="C15" i="20"/>
  <c r="C16" i="20"/>
  <c r="C17" i="20"/>
  <c r="C18" i="20"/>
  <c r="C19" i="20"/>
  <c r="C20" i="20"/>
  <c r="C21" i="20"/>
  <c r="C22" i="20"/>
  <c r="C23" i="20"/>
  <c r="BA9" i="1"/>
  <c r="BA10" i="1"/>
  <c r="BB10" i="1"/>
  <c r="BC10" i="1"/>
  <c r="BD10" i="1"/>
  <c r="AZ10" i="1"/>
  <c r="BB9" i="1"/>
  <c r="BC9" i="1"/>
  <c r="BE10" i="1"/>
  <c r="BD9" i="1"/>
  <c r="BL9" i="1"/>
  <c r="BO26" i="1" s="1"/>
  <c r="BL10" i="1"/>
  <c r="BN9" i="1"/>
  <c r="BN10" i="1"/>
  <c r="BR9" i="1"/>
  <c r="BR10" i="1"/>
  <c r="C53" i="9" s="1"/>
  <c r="AS12" i="1"/>
  <c r="AS11" i="1"/>
  <c r="AT12" i="1"/>
  <c r="AT14" i="1"/>
  <c r="E20" i="5"/>
  <c r="AU12" i="1"/>
  <c r="AV12" i="1"/>
  <c r="AW12" i="1"/>
  <c r="AW13" i="1"/>
  <c r="AX12" i="1"/>
  <c r="AY12" i="1"/>
  <c r="AZ9" i="1"/>
  <c r="AZ26" i="1" s="1"/>
  <c r="AZ27" i="1" s="1"/>
  <c r="BE9" i="1"/>
  <c r="BF10" i="1"/>
  <c r="BF28" i="1" s="1"/>
  <c r="BG10" i="1"/>
  <c r="BH10" i="1"/>
  <c r="BF9" i="1"/>
  <c r="BG26" i="1" s="1"/>
  <c r="BG9" i="1"/>
  <c r="BI10" i="1"/>
  <c r="BJ10" i="1"/>
  <c r="E60" i="2"/>
  <c r="C10" i="5"/>
  <c r="F15" i="1"/>
  <c r="D10" i="5"/>
  <c r="C12" i="1"/>
  <c r="D12" i="1"/>
  <c r="D11" i="1"/>
  <c r="E12" i="1"/>
  <c r="F12" i="1"/>
  <c r="G12" i="1"/>
  <c r="H12" i="1"/>
  <c r="I12" i="1"/>
  <c r="J12" i="1"/>
  <c r="J13" i="1"/>
  <c r="J15" i="1"/>
  <c r="D11" i="5"/>
  <c r="K12" i="1"/>
  <c r="L12" i="1"/>
  <c r="M12" i="1"/>
  <c r="N12" i="1"/>
  <c r="N15" i="1"/>
  <c r="D12" i="5"/>
  <c r="O12" i="1"/>
  <c r="O11" i="1"/>
  <c r="P12" i="1"/>
  <c r="T12" i="1"/>
  <c r="Q12" i="1"/>
  <c r="R14" i="1"/>
  <c r="E13" i="5"/>
  <c r="R12" i="1"/>
  <c r="R15" i="1"/>
  <c r="D13" i="5"/>
  <c r="S12" i="1"/>
  <c r="U12" i="1"/>
  <c r="V12" i="1"/>
  <c r="V11" i="1"/>
  <c r="V15" i="1"/>
  <c r="D14" i="5"/>
  <c r="W12" i="1"/>
  <c r="X12" i="1"/>
  <c r="X11" i="1"/>
  <c r="AB12" i="1"/>
  <c r="AF13" i="1"/>
  <c r="Y12" i="1"/>
  <c r="Z12" i="1"/>
  <c r="Z15" i="1"/>
  <c r="D15" i="5"/>
  <c r="AA12" i="1"/>
  <c r="AA11" i="1"/>
  <c r="AC12" i="1"/>
  <c r="AC11" i="1"/>
  <c r="AD12" i="1"/>
  <c r="AD11" i="1"/>
  <c r="AD15" i="1"/>
  <c r="D16" i="5"/>
  <c r="AE12" i="1"/>
  <c r="AE11" i="1"/>
  <c r="AF12" i="1"/>
  <c r="AG12" i="1"/>
  <c r="AH12" i="1"/>
  <c r="AH15" i="1"/>
  <c r="D17" i="5"/>
  <c r="AI12" i="1"/>
  <c r="AJ12" i="1"/>
  <c r="AJ13" i="1"/>
  <c r="AK12" i="1"/>
  <c r="AN17" i="1"/>
  <c r="AL12" i="1"/>
  <c r="AL15" i="1"/>
  <c r="D18" i="5"/>
  <c r="AM12" i="1"/>
  <c r="AN12" i="1"/>
  <c r="AN13" i="1"/>
  <c r="AO12" i="1"/>
  <c r="AO11" i="1"/>
  <c r="AP12" i="1"/>
  <c r="AQ18" i="1"/>
  <c r="AQ16" i="1"/>
  <c r="AP15" i="1"/>
  <c r="D19" i="5"/>
  <c r="AQ12" i="1"/>
  <c r="AR12" i="1"/>
  <c r="D20" i="5"/>
  <c r="AX15" i="1"/>
  <c r="D21" i="5"/>
  <c r="C24" i="5"/>
  <c r="D24" i="5"/>
  <c r="BK9" i="1"/>
  <c r="BM9" i="1"/>
  <c r="BK10" i="1"/>
  <c r="BN28" i="1" s="1"/>
  <c r="BM10" i="1"/>
  <c r="BO9" i="1"/>
  <c r="BO10" i="1"/>
  <c r="BP9" i="1"/>
  <c r="BQ9" i="1"/>
  <c r="BS9" i="1"/>
  <c r="BT9" i="1"/>
  <c r="BP10" i="1"/>
  <c r="BR28" i="1" s="1"/>
  <c r="BQ10" i="1"/>
  <c r="BT28" i="1" s="1"/>
  <c r="BU9" i="1"/>
  <c r="BV9" i="1"/>
  <c r="BS10" i="1"/>
  <c r="BT10" i="1"/>
  <c r="BU10" i="1"/>
  <c r="C56" i="9" s="1"/>
  <c r="BV10" i="1"/>
  <c r="C57" i="9" s="1"/>
  <c r="BW9" i="1"/>
  <c r="C28" i="5" s="1"/>
  <c r="BW10" i="1"/>
  <c r="BX28" i="1" s="1"/>
  <c r="BX9" i="1"/>
  <c r="BY9" i="1"/>
  <c r="BX10" i="1"/>
  <c r="BH9" i="1"/>
  <c r="BI9" i="1"/>
  <c r="BJ9" i="1"/>
  <c r="B12" i="1"/>
  <c r="F11" i="1"/>
  <c r="G11" i="1"/>
  <c r="J11" i="1"/>
  <c r="M11" i="1"/>
  <c r="Q11" i="1"/>
  <c r="AB11" i="1"/>
  <c r="AR11" i="1"/>
  <c r="AV11" i="1"/>
  <c r="AY11" i="1"/>
  <c r="V13" i="1"/>
  <c r="R26" i="1"/>
  <c r="S26" i="1"/>
  <c r="T26" i="1"/>
  <c r="U26" i="1"/>
  <c r="V26" i="1"/>
  <c r="W26" i="1"/>
  <c r="X26" i="1"/>
  <c r="X27" i="1"/>
  <c r="Y26" i="1"/>
  <c r="Z26" i="1"/>
  <c r="Z27" i="1"/>
  <c r="AA26" i="1"/>
  <c r="AA27" i="1"/>
  <c r="AB26" i="1"/>
  <c r="AC26" i="1"/>
  <c r="AC27" i="1"/>
  <c r="AD26" i="1"/>
  <c r="AE26" i="1"/>
  <c r="AF26" i="1"/>
  <c r="AF27" i="1"/>
  <c r="AG26" i="1"/>
  <c r="AH26" i="1"/>
  <c r="AH27" i="1"/>
  <c r="AI26" i="1"/>
  <c r="AI27" i="1"/>
  <c r="AJ26" i="1"/>
  <c r="AK26" i="1"/>
  <c r="AK27" i="1"/>
  <c r="AL26" i="1"/>
  <c r="AM26" i="1"/>
  <c r="AN26" i="1"/>
  <c r="AN27" i="1"/>
  <c r="AO26" i="1"/>
  <c r="AP26" i="1"/>
  <c r="AP27" i="1"/>
  <c r="AQ26" i="1"/>
  <c r="AQ27" i="1"/>
  <c r="AR26" i="1"/>
  <c r="AR27" i="1"/>
  <c r="AS26" i="1"/>
  <c r="AT26" i="1"/>
  <c r="AU26" i="1"/>
  <c r="AV26" i="1"/>
  <c r="AW26" i="1"/>
  <c r="AX26" i="1"/>
  <c r="AX27" i="1"/>
  <c r="AY26" i="1"/>
  <c r="AY27" i="1"/>
  <c r="W27" i="1"/>
  <c r="AM27" i="1"/>
  <c r="R28" i="1"/>
  <c r="S28" i="1"/>
  <c r="T28" i="1"/>
  <c r="U28" i="1"/>
  <c r="V28" i="1"/>
  <c r="W28" i="1"/>
  <c r="W29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K29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H23" i="9"/>
  <c r="I23" i="9"/>
  <c r="F23" i="9"/>
  <c r="G23" i="9"/>
  <c r="H27" i="9"/>
  <c r="M27" i="9"/>
  <c r="I27" i="9"/>
  <c r="G27" i="9"/>
  <c r="F27" i="9"/>
  <c r="H33" i="9"/>
  <c r="I33" i="9"/>
  <c r="F33" i="9"/>
  <c r="J33" i="9"/>
  <c r="G33" i="9"/>
  <c r="H37" i="9"/>
  <c r="I37" i="9"/>
  <c r="F37" i="9"/>
  <c r="G37" i="9"/>
  <c r="H41" i="9"/>
  <c r="F41" i="9"/>
  <c r="J41" i="9"/>
  <c r="I41" i="9"/>
  <c r="G41" i="9"/>
  <c r="H45" i="9"/>
  <c r="J45" i="9"/>
  <c r="I45" i="9"/>
  <c r="F45" i="9"/>
  <c r="G45" i="9"/>
  <c r="H49" i="9"/>
  <c r="I49" i="9"/>
  <c r="G49" i="9"/>
  <c r="F49" i="9"/>
  <c r="L49" i="9"/>
  <c r="H53" i="9"/>
  <c r="I53" i="9"/>
  <c r="B51" i="9"/>
  <c r="B52" i="9"/>
  <c r="C51" i="9"/>
  <c r="C52" i="9"/>
  <c r="D57" i="9"/>
  <c r="H57" i="9"/>
  <c r="I57" i="9"/>
  <c r="D13" i="19"/>
  <c r="D16" i="19"/>
  <c r="E16" i="19"/>
  <c r="D17" i="19"/>
  <c r="H21" i="19"/>
  <c r="D60" i="9"/>
  <c r="D22" i="19"/>
  <c r="I15" i="19"/>
  <c r="E58" i="9"/>
  <c r="I61" i="9" s="1"/>
  <c r="E17" i="19"/>
  <c r="C17" i="19"/>
  <c r="E18" i="19"/>
  <c r="M18" i="19"/>
  <c r="E19" i="19"/>
  <c r="E20" i="19"/>
  <c r="E21" i="19"/>
  <c r="E61" i="9"/>
  <c r="I63" i="9" s="1"/>
  <c r="B13" i="19"/>
  <c r="B14" i="19"/>
  <c r="J14" i="19" s="1"/>
  <c r="C14" i="19"/>
  <c r="K14" i="19" s="1"/>
  <c r="B15" i="19"/>
  <c r="J15" i="19" s="1"/>
  <c r="B16" i="19"/>
  <c r="J16" i="19" s="1"/>
  <c r="B17" i="19"/>
  <c r="B18" i="19"/>
  <c r="C18" i="19"/>
  <c r="B19" i="19"/>
  <c r="B20" i="19"/>
  <c r="J20" i="19" s="1"/>
  <c r="B21" i="19"/>
  <c r="C21" i="19"/>
  <c r="K21" i="19"/>
  <c r="B22" i="19"/>
  <c r="B23" i="19"/>
  <c r="B24" i="19"/>
  <c r="J24" i="19" s="1"/>
  <c r="C13" i="19"/>
  <c r="K13" i="19" s="1"/>
  <c r="C15" i="19"/>
  <c r="K15" i="19" s="1"/>
  <c r="C16" i="19"/>
  <c r="K16" i="19" s="1"/>
  <c r="C19" i="19"/>
  <c r="C20" i="19"/>
  <c r="N20" i="19" s="1"/>
  <c r="C22" i="19"/>
  <c r="K22" i="19" s="1"/>
  <c r="C23" i="19"/>
  <c r="K23" i="19" s="1"/>
  <c r="C24" i="19"/>
  <c r="K24" i="19" s="1"/>
  <c r="D62" i="9"/>
  <c r="H65" i="9" s="1"/>
  <c r="M65" i="9" s="1"/>
  <c r="D31" i="19"/>
  <c r="D63" i="9"/>
  <c r="E62" i="9"/>
  <c r="E31" i="19"/>
  <c r="B62" i="9"/>
  <c r="C62" i="9"/>
  <c r="F16" i="9"/>
  <c r="G16" i="9"/>
  <c r="H16" i="9"/>
  <c r="I16" i="9"/>
  <c r="K16" i="9"/>
  <c r="F21" i="9"/>
  <c r="G21" i="9"/>
  <c r="H21" i="9"/>
  <c r="I21" i="9"/>
  <c r="F25" i="9"/>
  <c r="L25" i="9"/>
  <c r="G25" i="9"/>
  <c r="H25" i="9"/>
  <c r="M25" i="9"/>
  <c r="I25" i="9"/>
  <c r="K25" i="9"/>
  <c r="F29" i="9"/>
  <c r="G29" i="9"/>
  <c r="H29" i="9"/>
  <c r="I29" i="9"/>
  <c r="K29" i="9"/>
  <c r="F31" i="9"/>
  <c r="G31" i="9"/>
  <c r="H31" i="9"/>
  <c r="I31" i="9"/>
  <c r="F35" i="9"/>
  <c r="G35" i="9"/>
  <c r="H35" i="9"/>
  <c r="J35" i="9"/>
  <c r="I35" i="9"/>
  <c r="F39" i="9"/>
  <c r="G39" i="9"/>
  <c r="I39" i="9"/>
  <c r="H39" i="9"/>
  <c r="F43" i="9"/>
  <c r="G43" i="9"/>
  <c r="L43" i="9"/>
  <c r="I43" i="9"/>
  <c r="K43" i="9"/>
  <c r="H43" i="9"/>
  <c r="J43" i="9"/>
  <c r="F47" i="9"/>
  <c r="G47" i="9"/>
  <c r="H47" i="9"/>
  <c r="I47" i="9"/>
  <c r="H51" i="9"/>
  <c r="I51" i="9"/>
  <c r="H55" i="9"/>
  <c r="I55" i="9"/>
  <c r="M14" i="19"/>
  <c r="M15" i="19"/>
  <c r="M23" i="19"/>
  <c r="H24" i="19"/>
  <c r="I24" i="19"/>
  <c r="M24" i="19"/>
  <c r="B26" i="19"/>
  <c r="J26" i="19" s="1"/>
  <c r="C26" i="19"/>
  <c r="K26" i="19" s="1"/>
  <c r="E26" i="19"/>
  <c r="M26" i="19"/>
  <c r="B27" i="19"/>
  <c r="C27" i="19"/>
  <c r="L27" i="19" s="1"/>
  <c r="N27" i="19" s="1"/>
  <c r="E27" i="19"/>
  <c r="D27" i="19"/>
  <c r="D28" i="19"/>
  <c r="B28" i="19"/>
  <c r="C28" i="19"/>
  <c r="E28" i="19"/>
  <c r="J29" i="19"/>
  <c r="K29" i="19"/>
  <c r="L29" i="19"/>
  <c r="M29" i="19"/>
  <c r="N29" i="19"/>
  <c r="J30" i="19"/>
  <c r="K30" i="19"/>
  <c r="L30" i="19"/>
  <c r="M30" i="19"/>
  <c r="B31" i="19"/>
  <c r="F31" i="19" s="1"/>
  <c r="C31" i="19"/>
  <c r="K31" i="19" s="1"/>
  <c r="I31" i="19"/>
  <c r="M32" i="19"/>
  <c r="M34" i="19"/>
  <c r="M35" i="19"/>
  <c r="M36" i="19"/>
  <c r="N12" i="11"/>
  <c r="O12" i="11"/>
  <c r="N13" i="11"/>
  <c r="O13" i="11"/>
  <c r="B15" i="11"/>
  <c r="C15" i="11"/>
  <c r="D15" i="11"/>
  <c r="E15" i="11"/>
  <c r="F15" i="11"/>
  <c r="G15" i="11"/>
  <c r="H15" i="11"/>
  <c r="I15" i="11"/>
  <c r="J15" i="11"/>
  <c r="K15" i="11"/>
  <c r="L15" i="11"/>
  <c r="M15" i="11"/>
  <c r="N18" i="11"/>
  <c r="O18" i="11"/>
  <c r="N19" i="11"/>
  <c r="O19" i="11"/>
  <c r="B21" i="11"/>
  <c r="C21" i="11"/>
  <c r="D21" i="11"/>
  <c r="E21" i="11"/>
  <c r="F21" i="11"/>
  <c r="G21" i="11"/>
  <c r="H21" i="11"/>
  <c r="I21" i="11"/>
  <c r="J21" i="11"/>
  <c r="K21" i="11"/>
  <c r="L21" i="11"/>
  <c r="M21" i="11"/>
  <c r="N24" i="11"/>
  <c r="O24" i="11"/>
  <c r="N25" i="11"/>
  <c r="O25" i="11"/>
  <c r="B27" i="11"/>
  <c r="C27" i="11"/>
  <c r="D27" i="11"/>
  <c r="E27" i="11"/>
  <c r="F27" i="11"/>
  <c r="G27" i="11"/>
  <c r="H27" i="11"/>
  <c r="I27" i="11"/>
  <c r="J27" i="11"/>
  <c r="K27" i="11"/>
  <c r="L27" i="11"/>
  <c r="M27" i="11"/>
  <c r="N30" i="11"/>
  <c r="O30" i="11"/>
  <c r="N31" i="11"/>
  <c r="O31" i="11"/>
  <c r="B33" i="11"/>
  <c r="C33" i="11"/>
  <c r="D33" i="11"/>
  <c r="E33" i="11"/>
  <c r="F33" i="11"/>
  <c r="G33" i="11"/>
  <c r="H33" i="11"/>
  <c r="I33" i="11"/>
  <c r="J33" i="11"/>
  <c r="K33" i="11"/>
  <c r="L33" i="11"/>
  <c r="M33" i="11"/>
  <c r="D36" i="11"/>
  <c r="E36" i="11"/>
  <c r="E39" i="11"/>
  <c r="G36" i="11"/>
  <c r="H36" i="11"/>
  <c r="I36" i="11"/>
  <c r="M36" i="11"/>
  <c r="D37" i="11"/>
  <c r="E37" i="11"/>
  <c r="G37" i="11"/>
  <c r="H37" i="11"/>
  <c r="H39" i="11"/>
  <c r="I37" i="11"/>
  <c r="M37" i="11"/>
  <c r="B39" i="11"/>
  <c r="C39" i="11"/>
  <c r="F39" i="11"/>
  <c r="J39" i="11"/>
  <c r="K39" i="11"/>
  <c r="L39" i="11"/>
  <c r="N12" i="12"/>
  <c r="O12" i="12"/>
  <c r="N13" i="12"/>
  <c r="O13" i="12"/>
  <c r="B15" i="12"/>
  <c r="C15" i="12"/>
  <c r="D15" i="12"/>
  <c r="E15" i="12"/>
  <c r="F15" i="12"/>
  <c r="G15" i="12"/>
  <c r="H15" i="12"/>
  <c r="I15" i="12"/>
  <c r="J15" i="12"/>
  <c r="K15" i="12"/>
  <c r="L15" i="12"/>
  <c r="M15" i="12"/>
  <c r="N18" i="12"/>
  <c r="O18" i="12"/>
  <c r="N19" i="12"/>
  <c r="O19" i="12"/>
  <c r="B21" i="12"/>
  <c r="C21" i="12"/>
  <c r="D21" i="12"/>
  <c r="E21" i="12"/>
  <c r="F21" i="12"/>
  <c r="G21" i="12"/>
  <c r="H21" i="12"/>
  <c r="I21" i="12"/>
  <c r="J21" i="12"/>
  <c r="K21" i="12"/>
  <c r="L21" i="12"/>
  <c r="M21" i="12"/>
  <c r="N24" i="12"/>
  <c r="O24" i="12"/>
  <c r="N25" i="12"/>
  <c r="O25" i="12"/>
  <c r="B27" i="12"/>
  <c r="C27" i="12"/>
  <c r="D27" i="12"/>
  <c r="E27" i="12"/>
  <c r="F27" i="12"/>
  <c r="G27" i="12"/>
  <c r="H27" i="12"/>
  <c r="I27" i="12"/>
  <c r="J27" i="12"/>
  <c r="K27" i="12"/>
  <c r="L27" i="12"/>
  <c r="M27" i="12"/>
  <c r="N30" i="12"/>
  <c r="O30" i="12"/>
  <c r="N31" i="12"/>
  <c r="O31" i="12"/>
  <c r="B33" i="12"/>
  <c r="C33" i="12"/>
  <c r="D33" i="12"/>
  <c r="E33" i="12"/>
  <c r="F33" i="12"/>
  <c r="G33" i="12"/>
  <c r="H33" i="12"/>
  <c r="I33" i="12"/>
  <c r="J33" i="12"/>
  <c r="K33" i="12"/>
  <c r="L33" i="12"/>
  <c r="M33" i="12"/>
  <c r="D36" i="12"/>
  <c r="D39" i="12"/>
  <c r="E36" i="12"/>
  <c r="G36" i="12"/>
  <c r="H36" i="12"/>
  <c r="I36" i="12"/>
  <c r="M36" i="12"/>
  <c r="D37" i="12"/>
  <c r="E37" i="12"/>
  <c r="G37" i="12"/>
  <c r="G39" i="12"/>
  <c r="H37" i="12"/>
  <c r="I37" i="12"/>
  <c r="M37" i="12"/>
  <c r="B39" i="12"/>
  <c r="C39" i="12"/>
  <c r="F39" i="12"/>
  <c r="J39" i="12"/>
  <c r="K39" i="12"/>
  <c r="L39" i="12"/>
  <c r="N12" i="13"/>
  <c r="O12" i="13"/>
  <c r="N15" i="13"/>
  <c r="O15" i="13"/>
  <c r="N18" i="13"/>
  <c r="O18" i="13"/>
  <c r="N21" i="13"/>
  <c r="O21" i="13"/>
  <c r="D24" i="13"/>
  <c r="E24" i="13"/>
  <c r="G24" i="13"/>
  <c r="H24" i="13"/>
  <c r="I24" i="13"/>
  <c r="M24" i="13"/>
  <c r="N14" i="14"/>
  <c r="O14" i="14"/>
  <c r="N15" i="14"/>
  <c r="O15" i="14"/>
  <c r="B17" i="14"/>
  <c r="C17" i="14"/>
  <c r="N17" i="14"/>
  <c r="O17" i="14"/>
  <c r="D17" i="14"/>
  <c r="E17" i="14"/>
  <c r="F17" i="14"/>
  <c r="G17" i="14"/>
  <c r="H17" i="14"/>
  <c r="I17" i="14"/>
  <c r="J17" i="14"/>
  <c r="K17" i="14"/>
  <c r="L17" i="14"/>
  <c r="M17" i="14"/>
  <c r="N20" i="14"/>
  <c r="O20" i="14"/>
  <c r="N21" i="14"/>
  <c r="O21" i="14"/>
  <c r="B23" i="14"/>
  <c r="C23" i="14"/>
  <c r="D23" i="14"/>
  <c r="E23" i="14"/>
  <c r="F23" i="14"/>
  <c r="G23" i="14"/>
  <c r="H23" i="14"/>
  <c r="I23" i="14"/>
  <c r="J23" i="14"/>
  <c r="K23" i="14"/>
  <c r="L23" i="14"/>
  <c r="M23" i="14"/>
  <c r="N26" i="14"/>
  <c r="O26" i="14"/>
  <c r="N27" i="14"/>
  <c r="O27" i="14"/>
  <c r="B29" i="14"/>
  <c r="C29" i="14"/>
  <c r="D29" i="14"/>
  <c r="E29" i="14"/>
  <c r="F29" i="14"/>
  <c r="G29" i="14"/>
  <c r="H29" i="14"/>
  <c r="I29" i="14"/>
  <c r="J29" i="14"/>
  <c r="K29" i="14"/>
  <c r="L29" i="14"/>
  <c r="M29" i="14"/>
  <c r="N32" i="14"/>
  <c r="O32" i="14"/>
  <c r="N33" i="14"/>
  <c r="O33" i="14"/>
  <c r="B35" i="14"/>
  <c r="C35" i="14"/>
  <c r="D35" i="14"/>
  <c r="E35" i="14"/>
  <c r="F35" i="14"/>
  <c r="G35" i="14"/>
  <c r="H35" i="14"/>
  <c r="I35" i="14"/>
  <c r="J35" i="14"/>
  <c r="K35" i="14"/>
  <c r="L35" i="14"/>
  <c r="M35" i="14"/>
  <c r="B38" i="14"/>
  <c r="C38" i="14"/>
  <c r="E38" i="14"/>
  <c r="G38" i="14"/>
  <c r="D38" i="14"/>
  <c r="D39" i="14"/>
  <c r="H38" i="14"/>
  <c r="I38" i="14"/>
  <c r="I39" i="14"/>
  <c r="M38" i="14"/>
  <c r="B39" i="14"/>
  <c r="C39" i="14"/>
  <c r="E39" i="14"/>
  <c r="G39" i="14"/>
  <c r="H39" i="14"/>
  <c r="H41" i="14"/>
  <c r="M39" i="14"/>
  <c r="M41" i="14"/>
  <c r="F41" i="14"/>
  <c r="J41" i="14"/>
  <c r="K41" i="14"/>
  <c r="L41" i="14"/>
  <c r="N12" i="15"/>
  <c r="O12" i="15"/>
  <c r="N15" i="15"/>
  <c r="O15" i="15"/>
  <c r="N18" i="15"/>
  <c r="O18" i="15"/>
  <c r="N21" i="15"/>
  <c r="O21" i="15"/>
  <c r="D24" i="15"/>
  <c r="E24" i="15"/>
  <c r="G24" i="15"/>
  <c r="H24" i="15"/>
  <c r="I24" i="15"/>
  <c r="M24" i="15"/>
  <c r="N12" i="16"/>
  <c r="O12" i="16"/>
  <c r="N15" i="16"/>
  <c r="O15" i="16"/>
  <c r="N18" i="16"/>
  <c r="O18" i="16"/>
  <c r="N21" i="16"/>
  <c r="O21" i="16"/>
  <c r="D24" i="16"/>
  <c r="E24" i="16"/>
  <c r="G24" i="16"/>
  <c r="H24" i="16"/>
  <c r="I24" i="16"/>
  <c r="M24" i="16"/>
  <c r="N13" i="17"/>
  <c r="O13" i="17"/>
  <c r="N14" i="17"/>
  <c r="O14" i="17"/>
  <c r="B16" i="17"/>
  <c r="C16" i="17"/>
  <c r="D16" i="17"/>
  <c r="E16" i="17"/>
  <c r="F16" i="17"/>
  <c r="G16" i="17"/>
  <c r="H16" i="17"/>
  <c r="I16" i="17"/>
  <c r="J16" i="17"/>
  <c r="K16" i="17"/>
  <c r="L16" i="17"/>
  <c r="M16" i="17"/>
  <c r="N19" i="17"/>
  <c r="O19" i="17"/>
  <c r="N20" i="17"/>
  <c r="O20" i="17"/>
  <c r="B22" i="17"/>
  <c r="C22" i="17"/>
  <c r="D22" i="17"/>
  <c r="N22" i="17"/>
  <c r="O22" i="17"/>
  <c r="E22" i="17"/>
  <c r="F22" i="17"/>
  <c r="G22" i="17"/>
  <c r="H22" i="17"/>
  <c r="I22" i="17"/>
  <c r="J22" i="17"/>
  <c r="K22" i="17"/>
  <c r="L22" i="17"/>
  <c r="M22" i="17"/>
  <c r="D25" i="17"/>
  <c r="E25" i="17"/>
  <c r="G25" i="17"/>
  <c r="G28" i="17"/>
  <c r="H25" i="17"/>
  <c r="I25" i="17"/>
  <c r="M25" i="17"/>
  <c r="D26" i="17"/>
  <c r="N26" i="17"/>
  <c r="O26" i="17"/>
  <c r="E26" i="17"/>
  <c r="E28" i="17"/>
  <c r="G26" i="17"/>
  <c r="H26" i="17"/>
  <c r="I26" i="17"/>
  <c r="M26" i="17"/>
  <c r="B28" i="17"/>
  <c r="C28" i="17"/>
  <c r="F28" i="17"/>
  <c r="J28" i="17"/>
  <c r="K28" i="17"/>
  <c r="L28" i="17"/>
  <c r="N15" i="18"/>
  <c r="O15" i="18"/>
  <c r="N18" i="18"/>
  <c r="O18" i="18"/>
  <c r="N21" i="18"/>
  <c r="O21" i="18"/>
  <c r="D24" i="18"/>
  <c r="E24" i="18"/>
  <c r="G24" i="18"/>
  <c r="H24" i="18"/>
  <c r="I24" i="18"/>
  <c r="M24" i="18"/>
  <c r="M13" i="19"/>
  <c r="AH11" i="1"/>
  <c r="AJ17" i="1"/>
  <c r="C11" i="1"/>
  <c r="F58" i="2"/>
  <c r="I12" i="8"/>
  <c r="I13" i="8" s="1"/>
  <c r="H12" i="8"/>
  <c r="H13" i="8" s="1"/>
  <c r="H14" i="8" s="1"/>
  <c r="H15" i="8" s="1"/>
  <c r="H16" i="8" s="1"/>
  <c r="H17" i="8" s="1"/>
  <c r="H18" i="8" s="1"/>
  <c r="H19" i="8" s="1"/>
  <c r="H20" i="8" s="1"/>
  <c r="H21" i="8" s="1"/>
  <c r="H22" i="8" s="1"/>
  <c r="H23" i="8" s="1"/>
  <c r="D31" i="2" s="1"/>
  <c r="I34" i="19"/>
  <c r="G12" i="8"/>
  <c r="G13" i="8" s="1"/>
  <c r="G14" i="8" s="1"/>
  <c r="G15" i="8" s="1"/>
  <c r="G16" i="8" s="1"/>
  <c r="G17" i="8" s="1"/>
  <c r="G18" i="8" s="1"/>
  <c r="G19" i="8" s="1"/>
  <c r="G20" i="8" s="1"/>
  <c r="G21" i="8" s="1"/>
  <c r="G22" i="8" s="1"/>
  <c r="G23" i="8" s="1"/>
  <c r="E57" i="2"/>
  <c r="N30" i="19"/>
  <c r="M20" i="19"/>
  <c r="E63" i="9"/>
  <c r="AV13" i="1"/>
  <c r="R11" i="1"/>
  <c r="B11" i="1"/>
  <c r="AI11" i="1"/>
  <c r="AI13" i="1"/>
  <c r="AS13" i="1"/>
  <c r="F59" i="2"/>
  <c r="AN11" i="1"/>
  <c r="F55" i="2"/>
  <c r="AQ11" i="1"/>
  <c r="M31" i="19"/>
  <c r="L35" i="9"/>
  <c r="L39" i="9"/>
  <c r="K35" i="9"/>
  <c r="D61" i="9"/>
  <c r="M22" i="19"/>
  <c r="K45" i="9"/>
  <c r="N11" i="1"/>
  <c r="P17" i="1"/>
  <c r="M21" i="19"/>
  <c r="K33" i="9"/>
  <c r="E12" i="8"/>
  <c r="E13" i="8" s="1"/>
  <c r="D12" i="8"/>
  <c r="D13" i="8" s="1"/>
  <c r="D14" i="8" s="1"/>
  <c r="D15" i="8" s="1"/>
  <c r="D16" i="8" s="1"/>
  <c r="D17" i="8" s="1"/>
  <c r="D18" i="8" s="1"/>
  <c r="D19" i="8" s="1"/>
  <c r="D20" i="8" s="1"/>
  <c r="D21" i="8" s="1"/>
  <c r="D22" i="8" s="1"/>
  <c r="D23" i="8" s="1"/>
  <c r="P11" i="1"/>
  <c r="E41" i="14"/>
  <c r="R13" i="1"/>
  <c r="AU11" i="1"/>
  <c r="AY13" i="1"/>
  <c r="BH12" i="1"/>
  <c r="H41" i="19"/>
  <c r="I41" i="19"/>
  <c r="M16" i="19"/>
  <c r="I21" i="19"/>
  <c r="E60" i="9"/>
  <c r="C13" i="5"/>
  <c r="AN18" i="1"/>
  <c r="AN16" i="1"/>
  <c r="B41" i="14"/>
  <c r="AV29" i="1"/>
  <c r="AT27" i="1"/>
  <c r="AJ27" i="1"/>
  <c r="AB27" i="1"/>
  <c r="D62" i="2"/>
  <c r="Q13" i="1"/>
  <c r="X13" i="1"/>
  <c r="C41" i="14"/>
  <c r="E68" i="9"/>
  <c r="I71" i="9" s="1"/>
  <c r="E69" i="9"/>
  <c r="AW11" i="1"/>
  <c r="M17" i="19"/>
  <c r="AS29" i="1"/>
  <c r="AC29" i="1"/>
  <c r="AO27" i="1"/>
  <c r="AG27" i="1"/>
  <c r="Y27" i="1"/>
  <c r="AD18" i="1"/>
  <c r="AD16" i="1"/>
  <c r="H13" i="1"/>
  <c r="C57" i="2"/>
  <c r="C13" i="7"/>
  <c r="C14" i="7" s="1"/>
  <c r="C15" i="7" s="1"/>
  <c r="C16" i="7" s="1"/>
  <c r="C17" i="7" s="1"/>
  <c r="C18" i="7" s="1"/>
  <c r="C19" i="7" s="1"/>
  <c r="C20" i="7" s="1"/>
  <c r="C21" i="7" s="1"/>
  <c r="C22" i="7" s="1"/>
  <c r="C23" i="7" s="1"/>
  <c r="C62" i="2"/>
  <c r="D28" i="17"/>
  <c r="AT13" i="1"/>
  <c r="H28" i="19"/>
  <c r="AE27" i="1"/>
  <c r="F54" i="2"/>
  <c r="L32" i="19"/>
  <c r="N32" i="19" s="1"/>
  <c r="H69" i="9"/>
  <c r="R18" i="1"/>
  <c r="R16" i="1"/>
  <c r="D41" i="14"/>
  <c r="E39" i="12"/>
  <c r="M53" i="9"/>
  <c r="M45" i="9"/>
  <c r="J37" i="9"/>
  <c r="AY29" i="1"/>
  <c r="Z18" i="1"/>
  <c r="Z16" i="1"/>
  <c r="AS27" i="1"/>
  <c r="AL27" i="1"/>
  <c r="AD27" i="1"/>
  <c r="V27" i="1"/>
  <c r="AE13" i="1"/>
  <c r="D30" i="2"/>
  <c r="E14" i="8"/>
  <c r="E15" i="8" s="1"/>
  <c r="E16" i="8" s="1"/>
  <c r="E17" i="8" s="1"/>
  <c r="E18" i="8" s="1"/>
  <c r="E19" i="8" s="1"/>
  <c r="E20" i="8" s="1"/>
  <c r="E21" i="8" s="1"/>
  <c r="E22" i="8" s="1"/>
  <c r="E23" i="8" s="1"/>
  <c r="E12" i="7"/>
  <c r="E13" i="7" s="1"/>
  <c r="E14" i="7" s="1"/>
  <c r="E15" i="7" s="1"/>
  <c r="E16" i="7" s="1"/>
  <c r="E17" i="7" s="1"/>
  <c r="E18" i="7" s="1"/>
  <c r="E19" i="7" s="1"/>
  <c r="E20" i="7" s="1"/>
  <c r="E21" i="7" s="1"/>
  <c r="E22" i="7" s="1"/>
  <c r="E23" i="7" s="1"/>
  <c r="J12" i="7"/>
  <c r="J13" i="7"/>
  <c r="J14" i="7" s="1"/>
  <c r="J15" i="7" s="1"/>
  <c r="J16" i="7" s="1"/>
  <c r="J17" i="7" s="1"/>
  <c r="J18" i="7" s="1"/>
  <c r="J19" i="7" s="1"/>
  <c r="J20" i="7" s="1"/>
  <c r="J21" i="7" s="1"/>
  <c r="J22" i="7" s="1"/>
  <c r="J23" i="7" s="1"/>
  <c r="L12" i="7"/>
  <c r="L13" i="7" s="1"/>
  <c r="L14" i="7" s="1"/>
  <c r="L15" i="7" s="1"/>
  <c r="L16" i="7" s="1"/>
  <c r="L17" i="7" s="1"/>
  <c r="L18" i="7" s="1"/>
  <c r="L19" i="7" s="1"/>
  <c r="L20" i="7" s="1"/>
  <c r="L21" i="7" s="1"/>
  <c r="L22" i="7" s="1"/>
  <c r="L23" i="7" s="1"/>
  <c r="I14" i="8"/>
  <c r="I15" i="8" s="1"/>
  <c r="F28" i="19"/>
  <c r="E58" i="2"/>
  <c r="K32" i="19"/>
  <c r="BX12" i="1"/>
  <c r="BX11" i="1" s="1"/>
  <c r="L13" i="19"/>
  <c r="AZ12" i="1"/>
  <c r="BH11" i="1"/>
  <c r="BD12" i="1"/>
  <c r="BD13" i="1" s="1"/>
  <c r="J21" i="19"/>
  <c r="L21" i="19"/>
  <c r="L11" i="1"/>
  <c r="N18" i="1"/>
  <c r="N16" i="1"/>
  <c r="K18" i="1"/>
  <c r="K16" i="1"/>
  <c r="M13" i="1"/>
  <c r="I13" i="1"/>
  <c r="I11" i="1"/>
  <c r="F14" i="1"/>
  <c r="E10" i="5"/>
  <c r="F10" i="5"/>
  <c r="H17" i="1"/>
  <c r="K37" i="19"/>
  <c r="N14" i="1"/>
  <c r="E12" i="5"/>
  <c r="F12" i="5"/>
  <c r="N16" i="17"/>
  <c r="O16" i="17"/>
  <c r="N39" i="14"/>
  <c r="O39" i="14"/>
  <c r="I65" i="9"/>
  <c r="C61" i="9"/>
  <c r="E11" i="1"/>
  <c r="AP11" i="1"/>
  <c r="AP13" i="1"/>
  <c r="AP14" i="1"/>
  <c r="E19" i="5"/>
  <c r="F19" i="5"/>
  <c r="AM13" i="1"/>
  <c r="AM11" i="1"/>
  <c r="AK11" i="1"/>
  <c r="AL18" i="1"/>
  <c r="AL16" i="1"/>
  <c r="AK13" i="1"/>
  <c r="AL14" i="1"/>
  <c r="E18" i="5"/>
  <c r="C18" i="5"/>
  <c r="AO13" i="1"/>
  <c r="U11" i="1"/>
  <c r="V18" i="1"/>
  <c r="V16" i="1"/>
  <c r="U13" i="1"/>
  <c r="E59" i="2"/>
  <c r="I12" i="7"/>
  <c r="I13" i="7" s="1"/>
  <c r="I14" i="7" s="1"/>
  <c r="C58" i="2"/>
  <c r="H12" i="7"/>
  <c r="H13" i="7" s="1"/>
  <c r="H14" i="7" s="1"/>
  <c r="H15" i="7" s="1"/>
  <c r="H16" i="7" s="1"/>
  <c r="H17" i="7" s="1"/>
  <c r="H18" i="7" s="1"/>
  <c r="H19" i="7" s="1"/>
  <c r="H20" i="7" s="1"/>
  <c r="H21" i="7" s="1"/>
  <c r="H22" i="7" s="1"/>
  <c r="H23" i="7" s="1"/>
  <c r="D57" i="2"/>
  <c r="G12" i="7"/>
  <c r="G13" i="7" s="1"/>
  <c r="G14" i="7" s="1"/>
  <c r="G15" i="7" s="1"/>
  <c r="G16" i="7" s="1"/>
  <c r="G17" i="7" s="1"/>
  <c r="G18" i="7" s="1"/>
  <c r="G19" i="7" s="1"/>
  <c r="G20" i="7" s="1"/>
  <c r="G21" i="7" s="1"/>
  <c r="G22" i="7" s="1"/>
  <c r="G23" i="7" s="1"/>
  <c r="E56" i="2"/>
  <c r="D29" i="2"/>
  <c r="E55" i="2"/>
  <c r="E54" i="2"/>
  <c r="D12" i="7"/>
  <c r="D13" i="7" s="1"/>
  <c r="D14" i="7" s="1"/>
  <c r="D15" i="7" s="1"/>
  <c r="D16" i="7" s="1"/>
  <c r="D17" i="7" s="1"/>
  <c r="D18" i="7" s="1"/>
  <c r="D19" i="7" s="1"/>
  <c r="D20" i="7" s="1"/>
  <c r="D21" i="7" s="1"/>
  <c r="D22" i="7" s="1"/>
  <c r="D23" i="7" s="1"/>
  <c r="AG18" i="1"/>
  <c r="AG16" i="1"/>
  <c r="AF17" i="1"/>
  <c r="C65" i="9"/>
  <c r="N21" i="19"/>
  <c r="L23" i="9"/>
  <c r="J23" i="9"/>
  <c r="AF11" i="1"/>
  <c r="AI18" i="1"/>
  <c r="AI16" i="1"/>
  <c r="AF18" i="1"/>
  <c r="AF16" i="1"/>
  <c r="C18" i="8"/>
  <c r="C19" i="8" s="1"/>
  <c r="C20" i="8" s="1"/>
  <c r="C21" i="8" s="1"/>
  <c r="C22" i="8" s="1"/>
  <c r="C23" i="8" s="1"/>
  <c r="K34" i="19"/>
  <c r="L34" i="19"/>
  <c r="N34" i="19" s="1"/>
  <c r="J42" i="19"/>
  <c r="L42" i="19"/>
  <c r="N42" i="19" s="1"/>
  <c r="L36" i="19"/>
  <c r="N36" i="19" s="1"/>
  <c r="J36" i="19"/>
  <c r="G24" i="19"/>
  <c r="C58" i="9"/>
  <c r="Y29" i="1"/>
  <c r="AS18" i="1"/>
  <c r="AS16" i="1"/>
  <c r="AH13" i="1"/>
  <c r="X17" i="1"/>
  <c r="V14" i="1"/>
  <c r="E14" i="5"/>
  <c r="C14" i="5"/>
  <c r="L17" i="1"/>
  <c r="I39" i="12"/>
  <c r="N15" i="11"/>
  <c r="O15" i="11"/>
  <c r="K47" i="9"/>
  <c r="P47" i="9"/>
  <c r="J21" i="9"/>
  <c r="J16" i="9"/>
  <c r="M57" i="9"/>
  <c r="L41" i="9"/>
  <c r="M37" i="9"/>
  <c r="M33" i="9"/>
  <c r="AH18" i="1"/>
  <c r="AH16" i="1"/>
  <c r="AC13" i="1"/>
  <c r="P13" i="1"/>
  <c r="N13" i="1"/>
  <c r="F18" i="1"/>
  <c r="F16" i="1"/>
  <c r="B14" i="8"/>
  <c r="B15" i="8" s="1"/>
  <c r="B16" i="8" s="1"/>
  <c r="B17" i="8" s="1"/>
  <c r="B18" i="8" s="1"/>
  <c r="B19" i="8" s="1"/>
  <c r="B20" i="8" s="1"/>
  <c r="B21" i="8" s="1"/>
  <c r="B22" i="8" s="1"/>
  <c r="B23" i="8" s="1"/>
  <c r="CE26" i="1"/>
  <c r="I28" i="17"/>
  <c r="I39" i="11"/>
  <c r="N27" i="11"/>
  <c r="O27" i="11"/>
  <c r="L29" i="9"/>
  <c r="K21" i="9"/>
  <c r="N13" i="19"/>
  <c r="K37" i="9"/>
  <c r="L33" i="9"/>
  <c r="N33" i="9"/>
  <c r="C14" i="10"/>
  <c r="L27" i="9"/>
  <c r="AE18" i="1"/>
  <c r="AE16" i="1"/>
  <c r="BY12" i="1"/>
  <c r="D60" i="2"/>
  <c r="C56" i="2"/>
  <c r="D28" i="2"/>
  <c r="L33" i="19"/>
  <c r="N33" i="19" s="1"/>
  <c r="E61" i="2"/>
  <c r="L46" i="19"/>
  <c r="N46" i="19" s="1"/>
  <c r="BQ12" i="1"/>
  <c r="BQ11" i="1" s="1"/>
  <c r="BE12" i="1"/>
  <c r="CE12" i="1"/>
  <c r="CE11" i="1" s="1"/>
  <c r="BP26" i="1"/>
  <c r="N37" i="12"/>
  <c r="O37" i="12"/>
  <c r="H18" i="19"/>
  <c r="D59" i="9"/>
  <c r="J27" i="19"/>
  <c r="N17" i="19"/>
  <c r="M39" i="12"/>
  <c r="M27" i="19"/>
  <c r="J17" i="19"/>
  <c r="N24" i="18"/>
  <c r="O24" i="18"/>
  <c r="H28" i="17"/>
  <c r="N25" i="17"/>
  <c r="O25" i="17"/>
  <c r="N24" i="16"/>
  <c r="O24" i="16"/>
  <c r="N24" i="15"/>
  <c r="O24" i="15"/>
  <c r="G41" i="14"/>
  <c r="N41" i="14"/>
  <c r="O41" i="14"/>
  <c r="H39" i="12"/>
  <c r="N38" i="14"/>
  <c r="O38" i="14"/>
  <c r="N36" i="12"/>
  <c r="O36" i="12"/>
  <c r="N36" i="11"/>
  <c r="O36" i="11"/>
  <c r="H63" i="9"/>
  <c r="N24" i="13"/>
  <c r="O24" i="13"/>
  <c r="C12" i="5"/>
  <c r="T13" i="1"/>
  <c r="W18" i="1"/>
  <c r="W16" i="1"/>
  <c r="AX11" i="1"/>
  <c r="AX13" i="1"/>
  <c r="AW18" i="1"/>
  <c r="AW16" i="1"/>
  <c r="AT11" i="1"/>
  <c r="D64" i="9"/>
  <c r="M33" i="19"/>
  <c r="H34" i="19"/>
  <c r="P35" i="9"/>
  <c r="AV17" i="1"/>
  <c r="D24" i="2"/>
  <c r="T18" i="1"/>
  <c r="T16" i="1"/>
  <c r="Z14" i="1"/>
  <c r="E15" i="5"/>
  <c r="N35" i="14"/>
  <c r="O35" i="14"/>
  <c r="H18" i="1"/>
  <c r="H16" i="1"/>
  <c r="C55" i="9"/>
  <c r="K13" i="1"/>
  <c r="Q18" i="1"/>
  <c r="Q16" i="1"/>
  <c r="N14" i="19"/>
  <c r="J14" i="1"/>
  <c r="E11" i="5"/>
  <c r="F11" i="5"/>
  <c r="S18" i="1"/>
  <c r="S16" i="1"/>
  <c r="G15" i="19"/>
  <c r="AJ18" i="1"/>
  <c r="AJ16" i="1"/>
  <c r="S11" i="1"/>
  <c r="N21" i="12"/>
  <c r="O21" i="12"/>
  <c r="N15" i="12"/>
  <c r="O15" i="12"/>
  <c r="AR29" i="1"/>
  <c r="AJ29" i="1"/>
  <c r="AF29" i="1"/>
  <c r="AB29" i="1"/>
  <c r="AU18" i="1"/>
  <c r="AU16" i="1"/>
  <c r="AT18" i="1"/>
  <c r="AT16" i="1"/>
  <c r="Z13" i="1"/>
  <c r="Z11" i="1"/>
  <c r="AC18" i="1"/>
  <c r="AC16" i="1"/>
  <c r="W11" i="1"/>
  <c r="Y18" i="1"/>
  <c r="Y16" i="1"/>
  <c r="K11" i="1"/>
  <c r="J18" i="1"/>
  <c r="J16" i="1"/>
  <c r="J13" i="19"/>
  <c r="J33" i="19"/>
  <c r="H11" i="1"/>
  <c r="H15" i="19"/>
  <c r="D58" i="9"/>
  <c r="H59" i="9" s="1"/>
  <c r="M59" i="9" s="1"/>
  <c r="S13" i="1"/>
  <c r="X18" i="1"/>
  <c r="X16" i="1"/>
  <c r="AD13" i="1"/>
  <c r="T11" i="1"/>
  <c r="Y11" i="1"/>
  <c r="AB18" i="1"/>
  <c r="AB16" i="1"/>
  <c r="AB17" i="1"/>
  <c r="N47" i="14"/>
  <c r="O47" i="14"/>
  <c r="P18" i="1"/>
  <c r="P16" i="1"/>
  <c r="J18" i="19"/>
  <c r="H31" i="19"/>
  <c r="AH14" i="1"/>
  <c r="E17" i="5"/>
  <c r="C17" i="5"/>
  <c r="AG13" i="1"/>
  <c r="L18" i="1"/>
  <c r="L16" i="1"/>
  <c r="U18" i="1"/>
  <c r="U16" i="1"/>
  <c r="I18" i="1"/>
  <c r="I16" i="1"/>
  <c r="AR18" i="1"/>
  <c r="AR16" i="1"/>
  <c r="N29" i="14"/>
  <c r="O29" i="14"/>
  <c r="N37" i="11"/>
  <c r="O37" i="11"/>
  <c r="N33" i="11"/>
  <c r="O33" i="11"/>
  <c r="N21" i="11"/>
  <c r="O21" i="11"/>
  <c r="M49" i="9"/>
  <c r="N49" i="9"/>
  <c r="C18" i="10"/>
  <c r="K49" i="9"/>
  <c r="L37" i="9"/>
  <c r="N37" i="9"/>
  <c r="C15" i="10"/>
  <c r="AV27" i="1"/>
  <c r="AV18" i="1"/>
  <c r="AV16" i="1"/>
  <c r="M18" i="1"/>
  <c r="M16" i="1"/>
  <c r="AG11" i="1"/>
  <c r="AL13" i="1"/>
  <c r="AL11" i="1"/>
  <c r="AA13" i="1"/>
  <c r="N41" i="19"/>
  <c r="CD12" i="1"/>
  <c r="F60" i="2" s="1"/>
  <c r="CG28" i="1"/>
  <c r="C67" i="9"/>
  <c r="K42" i="19"/>
  <c r="J45" i="19"/>
  <c r="K45" i="19"/>
  <c r="G47" i="19"/>
  <c r="O13" i="1"/>
  <c r="AU27" i="1"/>
  <c r="O18" i="1"/>
  <c r="O16" i="1"/>
  <c r="G31" i="19"/>
  <c r="L13" i="1"/>
  <c r="Y13" i="1"/>
  <c r="W13" i="1"/>
  <c r="AO18" i="1"/>
  <c r="AO16" i="1"/>
  <c r="B58" i="9"/>
  <c r="N15" i="19"/>
  <c r="D58" i="2"/>
  <c r="I16" i="8"/>
  <c r="I17" i="8" s="1"/>
  <c r="I18" i="8" s="1"/>
  <c r="I19" i="8" s="1"/>
  <c r="I20" i="8" s="1"/>
  <c r="I21" i="8" s="1"/>
  <c r="I22" i="8" s="1"/>
  <c r="I23" i="8" s="1"/>
  <c r="T17" i="1"/>
  <c r="J49" i="9"/>
  <c r="L15" i="19"/>
  <c r="G13" i="1"/>
  <c r="AR13" i="1"/>
  <c r="AA18" i="1"/>
  <c r="AA16" i="1"/>
  <c r="AM18" i="1"/>
  <c r="AM16" i="1"/>
  <c r="M28" i="17"/>
  <c r="M39" i="9"/>
  <c r="N39" i="9"/>
  <c r="M35" i="9"/>
  <c r="N35" i="9"/>
  <c r="M19" i="19"/>
  <c r="K17" i="19"/>
  <c r="I18" i="19"/>
  <c r="E59" i="9"/>
  <c r="I59" i="9"/>
  <c r="AY18" i="1"/>
  <c r="AY16" i="1"/>
  <c r="G18" i="1"/>
  <c r="G16" i="1"/>
  <c r="F13" i="1"/>
  <c r="E18" i="1"/>
  <c r="E16" i="1"/>
  <c r="F20" i="5"/>
  <c r="AR17" i="1"/>
  <c r="AP18" i="1"/>
  <c r="AP16" i="1"/>
  <c r="AX14" i="1"/>
  <c r="E21" i="5"/>
  <c r="AU13" i="1"/>
  <c r="AX18" i="1"/>
  <c r="AX16" i="1"/>
  <c r="F12" i="7"/>
  <c r="F13" i="7" s="1"/>
  <c r="F14" i="7" s="1"/>
  <c r="F15" i="7" s="1"/>
  <c r="F16" i="7" s="1"/>
  <c r="F17" i="7" s="1"/>
  <c r="F18" i="7" s="1"/>
  <c r="F19" i="7" s="1"/>
  <c r="F20" i="7" s="1"/>
  <c r="F21" i="7" s="1"/>
  <c r="F22" i="7" s="1"/>
  <c r="F23" i="7" s="1"/>
  <c r="D55" i="2"/>
  <c r="C12" i="7"/>
  <c r="C61" i="2"/>
  <c r="K46" i="19"/>
  <c r="I47" i="19"/>
  <c r="N23" i="14"/>
  <c r="O23" i="14"/>
  <c r="N33" i="12"/>
  <c r="O33" i="12"/>
  <c r="M55" i="9"/>
  <c r="K39" i="9"/>
  <c r="P39" i="9"/>
  <c r="J29" i="9"/>
  <c r="L16" i="9"/>
  <c r="L45" i="9"/>
  <c r="K27" i="9"/>
  <c r="P27" i="9"/>
  <c r="K23" i="9"/>
  <c r="P23" i="9"/>
  <c r="BM12" i="1"/>
  <c r="BM11" i="1" s="1"/>
  <c r="AQ13" i="1"/>
  <c r="AK18" i="1"/>
  <c r="AK16" i="1"/>
  <c r="AB13" i="1"/>
  <c r="K13" i="7"/>
  <c r="K14" i="7" s="1"/>
  <c r="K15" i="7" s="1"/>
  <c r="K16" i="7" s="1"/>
  <c r="K17" i="7" s="1"/>
  <c r="K18" i="7" s="1"/>
  <c r="K19" i="7" s="1"/>
  <c r="K20" i="7" s="1"/>
  <c r="K21" i="7" s="1"/>
  <c r="K22" i="7" s="1"/>
  <c r="K23" i="7" s="1"/>
  <c r="N34" i="17"/>
  <c r="O34" i="17"/>
  <c r="I41" i="14"/>
  <c r="N27" i="12"/>
  <c r="O27" i="12"/>
  <c r="M39" i="11"/>
  <c r="M51" i="9"/>
  <c r="J47" i="9"/>
  <c r="L14" i="19"/>
  <c r="K41" i="9"/>
  <c r="P43" i="9"/>
  <c r="M41" i="9"/>
  <c r="N41" i="9"/>
  <c r="C16" i="10"/>
  <c r="AW29" i="1"/>
  <c r="AO29" i="1"/>
  <c r="AG29" i="1"/>
  <c r="BU12" i="1"/>
  <c r="BU11" i="1" s="1"/>
  <c r="B65" i="9"/>
  <c r="N45" i="11"/>
  <c r="O45" i="11"/>
  <c r="N45" i="12"/>
  <c r="O45" i="12"/>
  <c r="N45" i="9"/>
  <c r="C17" i="10"/>
  <c r="N27" i="9"/>
  <c r="C13" i="10"/>
  <c r="M23" i="9"/>
  <c r="N23" i="9"/>
  <c r="C12" i="10"/>
  <c r="L47" i="9"/>
  <c r="M43" i="9"/>
  <c r="N43" i="9"/>
  <c r="J39" i="9"/>
  <c r="L31" i="9"/>
  <c r="N25" i="9"/>
  <c r="M47" i="9"/>
  <c r="K31" i="9"/>
  <c r="P31" i="9"/>
  <c r="J25" i="9"/>
  <c r="M29" i="9"/>
  <c r="J27" i="9"/>
  <c r="M16" i="9"/>
  <c r="M28" i="19"/>
  <c r="I28" i="19"/>
  <c r="G39" i="11"/>
  <c r="BT12" i="1"/>
  <c r="B55" i="9"/>
  <c r="BG12" i="1"/>
  <c r="BG13" i="1" s="1"/>
  <c r="BN12" i="1"/>
  <c r="AZ28" i="1"/>
  <c r="BA28" i="1"/>
  <c r="BA29" i="1" s="1"/>
  <c r="CF28" i="1"/>
  <c r="BC12" i="1"/>
  <c r="BC13" i="1" s="1"/>
  <c r="BZ12" i="1"/>
  <c r="BU28" i="1"/>
  <c r="C54" i="9"/>
  <c r="D27" i="5"/>
  <c r="F13" i="5"/>
  <c r="F18" i="5"/>
  <c r="E24" i="5"/>
  <c r="F24" i="5" s="1"/>
  <c r="C20" i="5"/>
  <c r="AQ29" i="1"/>
  <c r="AU29" i="1"/>
  <c r="AI29" i="1"/>
  <c r="AM29" i="1"/>
  <c r="AA29" i="1"/>
  <c r="AE29" i="1"/>
  <c r="B50" i="9"/>
  <c r="BO12" i="1"/>
  <c r="J31" i="9"/>
  <c r="AT29" i="1"/>
  <c r="AX29" i="1"/>
  <c r="AL29" i="1"/>
  <c r="AP29" i="1"/>
  <c r="AD29" i="1"/>
  <c r="AH29" i="1"/>
  <c r="AW27" i="1"/>
  <c r="D39" i="11"/>
  <c r="M31" i="9"/>
  <c r="J22" i="19"/>
  <c r="AN29" i="1"/>
  <c r="X29" i="1"/>
  <c r="V29" i="1"/>
  <c r="Z29" i="1"/>
  <c r="BP28" i="1"/>
  <c r="AJ11" i="1"/>
  <c r="AD14" i="1"/>
  <c r="E16" i="5"/>
  <c r="C16" i="5"/>
  <c r="CC12" i="1"/>
  <c r="K12" i="8"/>
  <c r="K13" i="8" s="1"/>
  <c r="K14" i="8" s="1"/>
  <c r="K15" i="8" s="1"/>
  <c r="K16" i="8" s="1"/>
  <c r="K17" i="8" s="1"/>
  <c r="K18" i="8" s="1"/>
  <c r="K19" i="8" s="1"/>
  <c r="K20" i="8" s="1"/>
  <c r="K21" i="8" s="1"/>
  <c r="K22" i="8" s="1"/>
  <c r="K23" i="8" s="1"/>
  <c r="C32" i="20" s="1"/>
  <c r="L45" i="19"/>
  <c r="N45" i="19" s="1"/>
  <c r="M46" i="19"/>
  <c r="J46" i="19"/>
  <c r="G44" i="19"/>
  <c r="N47" i="9"/>
  <c r="F14" i="5"/>
  <c r="H61" i="9"/>
  <c r="M61" i="9" s="1"/>
  <c r="N39" i="12"/>
  <c r="O39" i="12"/>
  <c r="C19" i="5"/>
  <c r="BU13" i="1"/>
  <c r="C11" i="5"/>
  <c r="N29" i="9"/>
  <c r="F17" i="5"/>
  <c r="BE11" i="1"/>
  <c r="N28" i="17"/>
  <c r="O28" i="17"/>
  <c r="N39" i="11"/>
  <c r="O39" i="11"/>
  <c r="C21" i="5"/>
  <c r="F21" i="5"/>
  <c r="C15" i="5"/>
  <c r="F15" i="5"/>
  <c r="N16" i="9"/>
  <c r="N31" i="9"/>
  <c r="BC11" i="1"/>
  <c r="BT11" i="1"/>
  <c r="F56" i="2"/>
  <c r="BN11" i="1"/>
  <c r="CC11" i="1"/>
  <c r="F51" i="9"/>
  <c r="F16" i="5"/>
  <c r="J51" i="9"/>
  <c r="M63" i="9" l="1"/>
  <c r="M71" i="9"/>
  <c r="M67" i="9"/>
  <c r="I69" i="9"/>
  <c r="M69" i="9" s="1"/>
  <c r="CI27" i="1"/>
  <c r="BS28" i="1"/>
  <c r="CD28" i="1"/>
  <c r="CA12" i="1"/>
  <c r="F34" i="19"/>
  <c r="O61" i="3"/>
  <c r="D33" i="2"/>
  <c r="C54" i="2"/>
  <c r="CF12" i="1"/>
  <c r="BY26" i="1"/>
  <c r="L20" i="19"/>
  <c r="BG28" i="1"/>
  <c r="K27" i="19"/>
  <c r="G57" i="9"/>
  <c r="K57" i="9" s="1"/>
  <c r="CL15" i="1"/>
  <c r="BT29" i="1"/>
  <c r="L44" i="19"/>
  <c r="N44" i="19" s="1"/>
  <c r="BZ26" i="1"/>
  <c r="BX13" i="1"/>
  <c r="K20" i="19"/>
  <c r="J31" i="19"/>
  <c r="L17" i="19"/>
  <c r="CK12" i="1"/>
  <c r="CK11" i="1" s="1"/>
  <c r="BB15" i="1"/>
  <c r="D22" i="5" s="1"/>
  <c r="E31" i="5"/>
  <c r="F31" i="5" s="1"/>
  <c r="CF26" i="1"/>
  <c r="B64" i="9"/>
  <c r="F65" i="9" s="1"/>
  <c r="J65" i="9" s="1"/>
  <c r="BW26" i="1"/>
  <c r="BZ27" i="1" s="1"/>
  <c r="BR15" i="1"/>
  <c r="G55" i="9"/>
  <c r="K55" i="9" s="1"/>
  <c r="CD13" i="1"/>
  <c r="BF15" i="1"/>
  <c r="D23" i="5" s="1"/>
  <c r="CG26" i="1"/>
  <c r="L16" i="19"/>
  <c r="CD11" i="1"/>
  <c r="BH28" i="1"/>
  <c r="BI28" i="1"/>
  <c r="L31" i="19"/>
  <c r="N31" i="19" s="1"/>
  <c r="J53" i="19"/>
  <c r="N46" i="17"/>
  <c r="O46" i="17" s="1"/>
  <c r="N59" i="14"/>
  <c r="O59" i="14" s="1"/>
  <c r="C27" i="20"/>
  <c r="G62" i="2"/>
  <c r="CM11" i="1"/>
  <c r="CL13" i="1"/>
  <c r="BX29" i="1"/>
  <c r="CI18" i="1"/>
  <c r="F61" i="2"/>
  <c r="BO11" i="1"/>
  <c r="CI16" i="1"/>
  <c r="CG13" i="1"/>
  <c r="BV12" i="1"/>
  <c r="BV11" i="1" s="1"/>
  <c r="CD15" i="1"/>
  <c r="CC28" i="1"/>
  <c r="CD26" i="1"/>
  <c r="CG27" i="1" s="1"/>
  <c r="B57" i="9"/>
  <c r="BR26" i="1"/>
  <c r="BR27" i="1" s="1"/>
  <c r="D25" i="5"/>
  <c r="CH26" i="1"/>
  <c r="CH27" i="1" s="1"/>
  <c r="J44" i="19"/>
  <c r="CJ28" i="1"/>
  <c r="CH11" i="1"/>
  <c r="BY28" i="1"/>
  <c r="BY29" i="1" s="1"/>
  <c r="F44" i="19"/>
  <c r="BZ28" i="1"/>
  <c r="CD29" i="1" s="1"/>
  <c r="N16" i="19"/>
  <c r="L35" i="19"/>
  <c r="N35" i="19" s="1"/>
  <c r="BX26" i="1"/>
  <c r="CA26" i="1"/>
  <c r="CA27" i="1" s="1"/>
  <c r="L54" i="19"/>
  <c r="N54" i="19" s="1"/>
  <c r="L62" i="19"/>
  <c r="N62" i="19" s="1"/>
  <c r="CL11" i="1"/>
  <c r="K67" i="19"/>
  <c r="BW28" i="1"/>
  <c r="BQ28" i="1"/>
  <c r="BU29" i="1" s="1"/>
  <c r="BI26" i="1"/>
  <c r="L26" i="19"/>
  <c r="N26" i="19" s="1"/>
  <c r="G54" i="19"/>
  <c r="C70" i="9" s="1"/>
  <c r="G73" i="9" s="1"/>
  <c r="K73" i="9" s="1"/>
  <c r="B72" i="9"/>
  <c r="L60" i="19"/>
  <c r="N60" i="19" s="1"/>
  <c r="BO28" i="1"/>
  <c r="BS29" i="1" s="1"/>
  <c r="CC13" i="1"/>
  <c r="BD28" i="1"/>
  <c r="BH29" i="1" s="1"/>
  <c r="CB28" i="1"/>
  <c r="CF29" i="1" s="1"/>
  <c r="B59" i="9"/>
  <c r="BI12" i="1"/>
  <c r="BM13" i="1" s="1"/>
  <c r="CH15" i="1"/>
  <c r="F57" i="19"/>
  <c r="F60" i="19"/>
  <c r="L59" i="19"/>
  <c r="N59" i="19" s="1"/>
  <c r="CH18" i="1"/>
  <c r="CH16" i="1" s="1"/>
  <c r="CA28" i="1"/>
  <c r="D26" i="5"/>
  <c r="BF26" i="1"/>
  <c r="CB26" i="1"/>
  <c r="CB27" i="1" s="1"/>
  <c r="BW29" i="1"/>
  <c r="BB12" i="1"/>
  <c r="BB11" i="1" s="1"/>
  <c r="CE13" i="1"/>
  <c r="CH14" i="1"/>
  <c r="CA18" i="1"/>
  <c r="CA16" i="1" s="1"/>
  <c r="AZ29" i="1"/>
  <c r="C50" i="9"/>
  <c r="F18" i="19"/>
  <c r="CC26" i="1"/>
  <c r="CF27" i="1" s="1"/>
  <c r="F37" i="19"/>
  <c r="G18" i="19"/>
  <c r="C59" i="9" s="1"/>
  <c r="BT26" i="1"/>
  <c r="BJ12" i="1"/>
  <c r="CI28" i="1"/>
  <c r="E30" i="5"/>
  <c r="F30" i="5" s="1"/>
  <c r="K66" i="19"/>
  <c r="C74" i="9"/>
  <c r="BE28" i="1"/>
  <c r="BF12" i="1"/>
  <c r="BG18" i="1" s="1"/>
  <c r="BG16" i="1" s="1"/>
  <c r="C29" i="5"/>
  <c r="C59" i="2"/>
  <c r="I15" i="7"/>
  <c r="I16" i="7" s="1"/>
  <c r="I17" i="7" s="1"/>
  <c r="I18" i="7" s="1"/>
  <c r="I19" i="7" s="1"/>
  <c r="I20" i="7" s="1"/>
  <c r="I21" i="7" s="1"/>
  <c r="I22" i="7" s="1"/>
  <c r="I23" i="7" s="1"/>
  <c r="CK13" i="1"/>
  <c r="BJ13" i="1"/>
  <c r="BN13" i="1"/>
  <c r="BA12" i="1"/>
  <c r="BC18" i="1" s="1"/>
  <c r="BC16" i="1" s="1"/>
  <c r="BA26" i="1"/>
  <c r="BA27" i="1" s="1"/>
  <c r="BH18" i="1"/>
  <c r="BU26" i="1"/>
  <c r="B53" i="9"/>
  <c r="BR12" i="1"/>
  <c r="BV13" i="1" s="1"/>
  <c r="F53" i="2"/>
  <c r="C25" i="5"/>
  <c r="BM26" i="1"/>
  <c r="BP27" i="1" s="1"/>
  <c r="BL26" i="1"/>
  <c r="BB13" i="1"/>
  <c r="BB26" i="1"/>
  <c r="BB27" i="1" s="1"/>
  <c r="CJ12" i="1"/>
  <c r="CL14" i="1" s="1"/>
  <c r="CM26" i="1"/>
  <c r="CJ26" i="1"/>
  <c r="CJ27" i="1" s="1"/>
  <c r="BJ11" i="1"/>
  <c r="BM28" i="1"/>
  <c r="BM29" i="1" s="1"/>
  <c r="BJ15" i="1"/>
  <c r="BL28" i="1"/>
  <c r="B66" i="9"/>
  <c r="L39" i="19"/>
  <c r="N39" i="19" s="1"/>
  <c r="J39" i="19"/>
  <c r="F41" i="19"/>
  <c r="AZ13" i="1"/>
  <c r="AZ11" i="1"/>
  <c r="K28" i="19"/>
  <c r="G28" i="19"/>
  <c r="L19" i="19"/>
  <c r="K19" i="19"/>
  <c r="G21" i="19"/>
  <c r="C60" i="9" s="1"/>
  <c r="L22" i="19"/>
  <c r="N22" i="19" s="1"/>
  <c r="F24" i="19"/>
  <c r="BP12" i="1"/>
  <c r="BP18" i="1" s="1"/>
  <c r="BP16" i="1" s="1"/>
  <c r="BQ26" i="1"/>
  <c r="C26" i="5"/>
  <c r="BS26" i="1"/>
  <c r="BS27" i="1" s="1"/>
  <c r="BJ26" i="1"/>
  <c r="BJ27" i="1" s="1"/>
  <c r="BH26" i="1"/>
  <c r="BN15" i="1"/>
  <c r="BL12" i="1"/>
  <c r="BZ11" i="1"/>
  <c r="BK26" i="1"/>
  <c r="BC26" i="1"/>
  <c r="BQ29" i="1"/>
  <c r="BK12" i="1"/>
  <c r="BK18" i="1" s="1"/>
  <c r="BK16" i="1" s="1"/>
  <c r="L24" i="19"/>
  <c r="N24" i="19" s="1"/>
  <c r="C25" i="20"/>
  <c r="CJ29" i="1"/>
  <c r="L18" i="19"/>
  <c r="K18" i="19"/>
  <c r="B54" i="9"/>
  <c r="BS12" i="1"/>
  <c r="BH13" i="1"/>
  <c r="D54" i="2"/>
  <c r="J23" i="19"/>
  <c r="L23" i="19"/>
  <c r="N23" i="19" s="1"/>
  <c r="BD11" i="1"/>
  <c r="BR29" i="1"/>
  <c r="BF13" i="1"/>
  <c r="CE27" i="1"/>
  <c r="AZ18" i="1"/>
  <c r="BV26" i="1"/>
  <c r="BN26" i="1"/>
  <c r="BY13" i="1"/>
  <c r="C64" i="9"/>
  <c r="G34" i="19"/>
  <c r="BE18" i="1"/>
  <c r="BE16" i="1" s="1"/>
  <c r="BD26" i="1"/>
  <c r="BG27" i="1" s="1"/>
  <c r="BE26" i="1"/>
  <c r="C27" i="5"/>
  <c r="E27" i="5" s="1"/>
  <c r="F27" i="5" s="1"/>
  <c r="CH13" i="1"/>
  <c r="CG18" i="1"/>
  <c r="CG16" i="1" s="1"/>
  <c r="B61" i="9"/>
  <c r="G59" i="9"/>
  <c r="K59" i="9" s="1"/>
  <c r="P59" i="9" s="1"/>
  <c r="B68" i="9"/>
  <c r="F47" i="19"/>
  <c r="BZ13" i="1"/>
  <c r="BK28" i="1"/>
  <c r="BG11" i="1"/>
  <c r="BJ14" i="1"/>
  <c r="BJ28" i="1"/>
  <c r="BJ29" i="1" s="1"/>
  <c r="N18" i="19"/>
  <c r="G41" i="19"/>
  <c r="CL26" i="1"/>
  <c r="CL27" i="1" s="1"/>
  <c r="CO8" i="1"/>
  <c r="CK26" i="1"/>
  <c r="CL28" i="1"/>
  <c r="CK28" i="1"/>
  <c r="CK29" i="1" s="1"/>
  <c r="L28" i="19"/>
  <c r="N28" i="19" s="1"/>
  <c r="D28" i="5"/>
  <c r="E28" i="5" s="1"/>
  <c r="BW12" i="1"/>
  <c r="BW18" i="1" s="1"/>
  <c r="BW16" i="1" s="1"/>
  <c r="BZ15" i="1"/>
  <c r="BC28" i="1"/>
  <c r="BB28" i="1"/>
  <c r="BB29" i="1" s="1"/>
  <c r="CE28" i="1"/>
  <c r="CE29" i="1" s="1"/>
  <c r="C63" i="9"/>
  <c r="CB12" i="1"/>
  <c r="CB18" i="1" s="1"/>
  <c r="CB16" i="1" s="1"/>
  <c r="D29" i="5"/>
  <c r="K47" i="19"/>
  <c r="L47" i="19"/>
  <c r="N47" i="19" s="1"/>
  <c r="C68" i="9"/>
  <c r="CM13" i="1"/>
  <c r="K48" i="19"/>
  <c r="G50" i="19"/>
  <c r="CM28" i="1"/>
  <c r="C66" i="9"/>
  <c r="G69" i="9" s="1"/>
  <c r="K69" i="9" s="1"/>
  <c r="B56" i="9"/>
  <c r="F59" i="9" s="1"/>
  <c r="G60" i="19"/>
  <c r="K58" i="19"/>
  <c r="BV28" i="1"/>
  <c r="BV29" i="1" s="1"/>
  <c r="BV15" i="1"/>
  <c r="BY11" i="1"/>
  <c r="CI11" i="1"/>
  <c r="CI13" i="1"/>
  <c r="BP17" i="1"/>
  <c r="BQ13" i="1"/>
  <c r="F21" i="19"/>
  <c r="B60" i="9" s="1"/>
  <c r="J19" i="19"/>
  <c r="N19" i="19"/>
  <c r="L40" i="19"/>
  <c r="N40" i="19" s="1"/>
  <c r="CG11" i="1"/>
  <c r="L61" i="19"/>
  <c r="N61" i="19" s="1"/>
  <c r="F63" i="19"/>
  <c r="J61" i="19"/>
  <c r="B73" i="9"/>
  <c r="F54" i="19"/>
  <c r="B70" i="9" s="1"/>
  <c r="L55" i="19"/>
  <c r="N55" i="19" s="1"/>
  <c r="J58" i="19"/>
  <c r="G67" i="19"/>
  <c r="F15" i="19"/>
  <c r="J28" i="19"/>
  <c r="L48" i="19"/>
  <c r="N48" i="19" s="1"/>
  <c r="G57" i="19"/>
  <c r="F67" i="19"/>
  <c r="CH28" i="1"/>
  <c r="G37" i="19"/>
  <c r="F50" i="19"/>
  <c r="J55" i="19"/>
  <c r="F67" i="9" l="1"/>
  <c r="BW27" i="1"/>
  <c r="G54" i="2"/>
  <c r="CM27" i="1"/>
  <c r="BI13" i="1"/>
  <c r="CM29" i="1"/>
  <c r="G61" i="2"/>
  <c r="C60" i="2"/>
  <c r="C30" i="20" s="1"/>
  <c r="CA11" i="1"/>
  <c r="CC27" i="1"/>
  <c r="D61" i="2"/>
  <c r="CF11" i="1"/>
  <c r="CH29" i="1"/>
  <c r="CL29" i="1"/>
  <c r="BN27" i="1"/>
  <c r="G60" i="2"/>
  <c r="CA29" i="1"/>
  <c r="BI27" i="1"/>
  <c r="CF17" i="1"/>
  <c r="CF18" i="1"/>
  <c r="CF16" i="1" s="1"/>
  <c r="G55" i="2"/>
  <c r="G65" i="9"/>
  <c r="K65" i="9" s="1"/>
  <c r="BT27" i="1"/>
  <c r="BJ18" i="1"/>
  <c r="BJ16" i="1" s="1"/>
  <c r="BF18" i="1"/>
  <c r="BF16" i="1" s="1"/>
  <c r="BF11" i="1"/>
  <c r="CK27" i="1"/>
  <c r="BF14" i="1"/>
  <c r="E23" i="5" s="1"/>
  <c r="E25" i="5"/>
  <c r="F25" i="5" s="1"/>
  <c r="BE29" i="1"/>
  <c r="BI29" i="1"/>
  <c r="CG29" i="1"/>
  <c r="CC29" i="1"/>
  <c r="G71" i="9"/>
  <c r="K71" i="9" s="1"/>
  <c r="P71" i="9" s="1"/>
  <c r="BI11" i="1"/>
  <c r="CD27" i="1"/>
  <c r="BI18" i="1"/>
  <c r="BI16" i="1" s="1"/>
  <c r="BH27" i="1"/>
  <c r="F57" i="9"/>
  <c r="L57" i="9" s="1"/>
  <c r="N57" i="9" s="1"/>
  <c r="C20" i="10" s="1"/>
  <c r="G51" i="9"/>
  <c r="G53" i="9"/>
  <c r="K53" i="9" s="1"/>
  <c r="P55" i="9" s="1"/>
  <c r="CB29" i="1"/>
  <c r="CI29" i="1"/>
  <c r="BF29" i="1"/>
  <c r="BD29" i="1"/>
  <c r="F63" i="9"/>
  <c r="BL18" i="1"/>
  <c r="BK29" i="1"/>
  <c r="BO29" i="1"/>
  <c r="D25" i="2"/>
  <c r="AZ16" i="1"/>
  <c r="AZ17" i="1"/>
  <c r="G63" i="9"/>
  <c r="K63" i="9" s="1"/>
  <c r="F73" i="9"/>
  <c r="BV27" i="1"/>
  <c r="BY27" i="1"/>
  <c r="CC18" i="1"/>
  <c r="CC16" i="1" s="1"/>
  <c r="BP11" i="1"/>
  <c r="E26" i="5"/>
  <c r="F26" i="5" s="1"/>
  <c r="BT13" i="1"/>
  <c r="BR18" i="1"/>
  <c r="BR16" i="1" s="1"/>
  <c r="BQ18" i="1"/>
  <c r="BQ16" i="1" s="1"/>
  <c r="BR14" i="1"/>
  <c r="BP13" i="1"/>
  <c r="BS18" i="1"/>
  <c r="BS16" i="1" s="1"/>
  <c r="BB18" i="1"/>
  <c r="BB16" i="1" s="1"/>
  <c r="D27" i="2"/>
  <c r="BH17" i="1"/>
  <c r="BH16" i="1"/>
  <c r="J67" i="9"/>
  <c r="BZ14" i="1"/>
  <c r="CA13" i="1"/>
  <c r="BW13" i="1"/>
  <c r="BZ18" i="1"/>
  <c r="BZ16" i="1" s="1"/>
  <c r="BY18" i="1"/>
  <c r="BY16" i="1" s="1"/>
  <c r="G59" i="2"/>
  <c r="C29" i="20"/>
  <c r="L65" i="9"/>
  <c r="N65" i="9" s="1"/>
  <c r="BV18" i="1"/>
  <c r="BV16" i="1" s="1"/>
  <c r="BS13" i="1"/>
  <c r="BS11" i="1"/>
  <c r="BV14" i="1"/>
  <c r="BP29" i="1"/>
  <c r="BL29" i="1"/>
  <c r="G67" i="9"/>
  <c r="K67" i="9" s="1"/>
  <c r="BB14" i="1"/>
  <c r="E22" i="5" s="1"/>
  <c r="BU27" i="1"/>
  <c r="BX27" i="1"/>
  <c r="F28" i="5"/>
  <c r="F55" i="9"/>
  <c r="F53" i="9"/>
  <c r="BC29" i="1"/>
  <c r="BG29" i="1"/>
  <c r="BE27" i="1"/>
  <c r="BF27" i="1"/>
  <c r="BC27" i="1"/>
  <c r="BL27" i="1"/>
  <c r="BO27" i="1"/>
  <c r="BZ29" i="1"/>
  <c r="BN29" i="1"/>
  <c r="BR13" i="1"/>
  <c r="BT18" i="1"/>
  <c r="BT16" i="1" s="1"/>
  <c r="F57" i="2"/>
  <c r="BR11" i="1"/>
  <c r="BU18" i="1"/>
  <c r="BU16" i="1" s="1"/>
  <c r="BT17" i="1"/>
  <c r="BK11" i="1"/>
  <c r="BN18" i="1"/>
  <c r="BN16" i="1" s="1"/>
  <c r="BN14" i="1"/>
  <c r="BK13" i="1"/>
  <c r="BO13" i="1"/>
  <c r="CM18" i="1"/>
  <c r="CM16" i="1" s="1"/>
  <c r="CJ13" i="1"/>
  <c r="CK18" i="1"/>
  <c r="CK16" i="1" s="1"/>
  <c r="CJ18" i="1"/>
  <c r="CJ16" i="1" s="1"/>
  <c r="CJ17" i="1"/>
  <c r="CL18" i="1"/>
  <c r="CL16" i="1" s="1"/>
  <c r="CJ11" i="1"/>
  <c r="BD27" i="1"/>
  <c r="E29" i="5"/>
  <c r="F29" i="5" s="1"/>
  <c r="BK27" i="1"/>
  <c r="BM27" i="1"/>
  <c r="CB11" i="1"/>
  <c r="CB13" i="1"/>
  <c r="CD18" i="1"/>
  <c r="CD16" i="1" s="1"/>
  <c r="CD14" i="1"/>
  <c r="CB17" i="1"/>
  <c r="CF13" i="1"/>
  <c r="CE18" i="1"/>
  <c r="CE16" i="1" s="1"/>
  <c r="D56" i="2"/>
  <c r="G58" i="2" s="1"/>
  <c r="BO18" i="1"/>
  <c r="BO16" i="1" s="1"/>
  <c r="BL11" i="1"/>
  <c r="BL13" i="1"/>
  <c r="BA13" i="1"/>
  <c r="BD18" i="1"/>
  <c r="E53" i="2"/>
  <c r="BE13" i="1"/>
  <c r="BA18" i="1"/>
  <c r="BA16" i="1" s="1"/>
  <c r="BA11" i="1"/>
  <c r="F61" i="9"/>
  <c r="J59" i="9"/>
  <c r="L59" i="9"/>
  <c r="N59" i="9" s="1"/>
  <c r="BW11" i="1"/>
  <c r="F71" i="9"/>
  <c r="BX18" i="1"/>
  <c r="BX16" i="1" s="1"/>
  <c r="BQ27" i="1"/>
  <c r="F69" i="9"/>
  <c r="BX17" i="1"/>
  <c r="BM18" i="1"/>
  <c r="BM16" i="1" s="1"/>
  <c r="G61" i="9"/>
  <c r="K61" i="9" s="1"/>
  <c r="J57" i="9" l="1"/>
  <c r="P63" i="9"/>
  <c r="C23" i="5"/>
  <c r="F23" i="5"/>
  <c r="K51" i="9"/>
  <c r="P51" i="9" s="1"/>
  <c r="L51" i="9"/>
  <c r="N51" i="9" s="1"/>
  <c r="P67" i="9"/>
  <c r="BD17" i="1"/>
  <c r="D26" i="2" s="1"/>
  <c r="D35" i="2" s="1"/>
  <c r="BD16" i="1"/>
  <c r="L61" i="9"/>
  <c r="N61" i="9" s="1"/>
  <c r="C21" i="10" s="1"/>
  <c r="J61" i="9"/>
  <c r="C28" i="20"/>
  <c r="G57" i="2"/>
  <c r="J69" i="9"/>
  <c r="L69" i="9"/>
  <c r="N69" i="9" s="1"/>
  <c r="C24" i="10" s="1"/>
  <c r="C22" i="5"/>
  <c r="F22" i="5"/>
  <c r="L55" i="9"/>
  <c r="N55" i="9" s="1"/>
  <c r="J55" i="9"/>
  <c r="L67" i="9"/>
  <c r="N67" i="9" s="1"/>
  <c r="C23" i="10" s="1"/>
  <c r="BL17" i="1"/>
  <c r="BL16" i="1"/>
  <c r="G56" i="2"/>
  <c r="C26" i="20"/>
  <c r="J71" i="9"/>
  <c r="L71" i="9"/>
  <c r="N71" i="9" s="1"/>
  <c r="C24" i="20"/>
  <c r="G53" i="2"/>
  <c r="J53" i="9"/>
  <c r="L53" i="9"/>
  <c r="N53" i="9" s="1"/>
  <c r="C19" i="10" s="1"/>
  <c r="J73" i="9"/>
  <c r="L73" i="9"/>
  <c r="N73" i="9" s="1"/>
  <c r="J63" i="9"/>
  <c r="L63" i="9"/>
  <c r="N63" i="9" s="1"/>
  <c r="C22" i="10" s="1"/>
</calcChain>
</file>

<file path=xl/sharedStrings.xml><?xml version="1.0" encoding="utf-8"?>
<sst xmlns="http://schemas.openxmlformats.org/spreadsheetml/2006/main" count="1382" uniqueCount="331">
  <si>
    <t>13/14</t>
    <phoneticPr fontId="3" type="noConversion"/>
  </si>
  <si>
    <t>14/15</t>
    <phoneticPr fontId="0" type="noConversion"/>
  </si>
  <si>
    <t>6/15</t>
    <phoneticPr fontId="0" type="noConversion"/>
  </si>
  <si>
    <t>9/13</t>
    <phoneticPr fontId="0" type="noConversion"/>
  </si>
  <si>
    <t>Jan-10</t>
  </si>
  <si>
    <t>Feb-10</t>
  </si>
  <si>
    <t>Apr-10</t>
  </si>
  <si>
    <t>Mar-10</t>
  </si>
  <si>
    <t>12/09</t>
  </si>
  <si>
    <t>Aug</t>
  </si>
  <si>
    <t>Oct</t>
  </si>
  <si>
    <t>Nov</t>
  </si>
  <si>
    <t>Number</t>
  </si>
  <si>
    <t>Value</t>
  </si>
  <si>
    <t xml:space="preserve"> </t>
  </si>
  <si>
    <t>03/07</t>
  </si>
  <si>
    <t>06/07</t>
  </si>
  <si>
    <t>09/07</t>
  </si>
  <si>
    <t>December</t>
  </si>
  <si>
    <t>2010</t>
  </si>
  <si>
    <t>Jun</t>
  </si>
  <si>
    <t>Sep</t>
  </si>
  <si>
    <t>Dec</t>
  </si>
  <si>
    <t>6/16</t>
    <phoneticPr fontId="0" type="noConversion"/>
  </si>
  <si>
    <t>15/16</t>
    <phoneticPr fontId="0" type="noConversion"/>
  </si>
  <si>
    <t>Feb</t>
    <phoneticPr fontId="3" type="noConversion"/>
  </si>
  <si>
    <t>Jan</t>
    <phoneticPr fontId="3" type="noConversion"/>
  </si>
  <si>
    <t>Ave Value</t>
    <phoneticPr fontId="3" type="noConversion"/>
  </si>
  <si>
    <t>06/11</t>
  </si>
  <si>
    <t>Second Qtr</t>
  </si>
  <si>
    <t>Third Qtr</t>
  </si>
  <si>
    <t>Fourth Qtr</t>
  </si>
  <si>
    <t>First Qtr</t>
  </si>
  <si>
    <t>12/16</t>
    <phoneticPr fontId="0" type="noConversion"/>
  </si>
  <si>
    <t>Dec</t>
    <phoneticPr fontId="3" type="noConversion"/>
  </si>
  <si>
    <t>Adults ($)</t>
  </si>
  <si>
    <t>kids average</t>
  </si>
  <si>
    <t>adults average</t>
  </si>
  <si>
    <t>Total annual imports</t>
  </si>
  <si>
    <t>9/14</t>
    <phoneticPr fontId="0" type="noConversion"/>
  </si>
  <si>
    <t>Apr</t>
    <phoneticPr fontId="3" type="noConversion"/>
  </si>
  <si>
    <t>May</t>
    <phoneticPr fontId="3" type="noConversion"/>
  </si>
  <si>
    <t>Mar-14</t>
    <phoneticPr fontId="3" type="noConversion"/>
  </si>
  <si>
    <t>Feb-14</t>
    <phoneticPr fontId="3" type="noConversion"/>
  </si>
  <si>
    <t>2014</t>
  </si>
  <si>
    <t>12/15</t>
    <phoneticPr fontId="0" type="noConversion"/>
  </si>
  <si>
    <t>TOTAL</t>
    <phoneticPr fontId="3" type="noConversion"/>
  </si>
  <si>
    <t>2015/16</t>
    <phoneticPr fontId="3" type="noConversion"/>
  </si>
  <si>
    <t>July</t>
    <phoneticPr fontId="3" type="noConversion"/>
  </si>
  <si>
    <t>Value</t>
    <phoneticPr fontId="3" type="noConversion"/>
  </si>
  <si>
    <t>TOTAL</t>
    <phoneticPr fontId="3" type="noConversion"/>
  </si>
  <si>
    <t>AVE</t>
    <phoneticPr fontId="3" type="noConversion"/>
  </si>
  <si>
    <t>2014/15</t>
    <phoneticPr fontId="3" type="noConversion"/>
  </si>
  <si>
    <t>2015/16</t>
    <phoneticPr fontId="3" type="noConversion"/>
  </si>
  <si>
    <t>July</t>
    <phoneticPr fontId="3" type="noConversion"/>
  </si>
  <si>
    <t>Aug</t>
    <phoneticPr fontId="3" type="noConversion"/>
  </si>
  <si>
    <t>Sep</t>
    <phoneticPr fontId="3" type="noConversion"/>
  </si>
  <si>
    <t>Children’s Bicycles</t>
  </si>
  <si>
    <t>AVE</t>
    <phoneticPr fontId="3" type="noConversion"/>
  </si>
  <si>
    <t>Annual Total</t>
  </si>
  <si>
    <t>9/17</t>
    <phoneticPr fontId="0" type="noConversion"/>
  </si>
  <si>
    <t>Qtr kids units</t>
    <phoneticPr fontId="3" type="noConversion"/>
  </si>
  <si>
    <t>Qtrl adults units</t>
    <phoneticPr fontId="3" type="noConversion"/>
  </si>
  <si>
    <t>Qtr kids values</t>
    <phoneticPr fontId="3" type="noConversion"/>
  </si>
  <si>
    <t>Qtr adults values</t>
    <phoneticPr fontId="3" type="noConversion"/>
  </si>
  <si>
    <t>Total Monthly import</t>
    <phoneticPr fontId="3" type="noConversion"/>
  </si>
  <si>
    <t>Total monthly value</t>
    <phoneticPr fontId="3" type="noConversion"/>
  </si>
  <si>
    <t>Percentage Adult Bicycles</t>
  </si>
  <si>
    <t>3/17</t>
  </si>
  <si>
    <t xml:space="preserve">6/17 </t>
    <phoneticPr fontId="0" type="noConversion"/>
  </si>
  <si>
    <t>Mar-14</t>
    <phoneticPr fontId="3" type="noConversion"/>
  </si>
  <si>
    <t>Jun-16</t>
    <phoneticPr fontId="3" type="noConversion"/>
  </si>
  <si>
    <t>Sep-16</t>
    <phoneticPr fontId="3" type="noConversion"/>
  </si>
  <si>
    <t>Kids (#)</t>
  </si>
  <si>
    <t>2016/17</t>
    <phoneticPr fontId="3" type="noConversion"/>
  </si>
  <si>
    <t>15/16</t>
    <phoneticPr fontId="3" type="noConversion"/>
  </si>
  <si>
    <t xml:space="preserve">Adult Bicycles </t>
  </si>
  <si>
    <t xml:space="preserve">Adult Bicycles % of total </t>
  </si>
  <si>
    <t>Nov</t>
    <phoneticPr fontId="3" type="noConversion"/>
  </si>
  <si>
    <t>08/09</t>
  </si>
  <si>
    <t>06/10</t>
  </si>
  <si>
    <t>16/17</t>
    <phoneticPr fontId="3" type="noConversion"/>
  </si>
  <si>
    <t>2016/17</t>
    <phoneticPr fontId="3" type="noConversion"/>
  </si>
  <si>
    <t>2016/17</t>
    <phoneticPr fontId="3" type="noConversion"/>
  </si>
  <si>
    <t>Adult (#)</t>
  </si>
  <si>
    <t>00/01</t>
  </si>
  <si>
    <t>01/02</t>
  </si>
  <si>
    <t xml:space="preserve">12/07 </t>
  </si>
  <si>
    <t>03/08</t>
  </si>
  <si>
    <t>06/08</t>
  </si>
  <si>
    <t xml:space="preserve"> 07/08</t>
  </si>
  <si>
    <t>09/10</t>
  </si>
  <si>
    <t>12/10</t>
  </si>
  <si>
    <t>Childrens Bicycles</t>
  </si>
  <si>
    <t>Adults Bicycles</t>
  </si>
  <si>
    <t>Total Bicycles</t>
  </si>
  <si>
    <t>97/98</t>
  </si>
  <si>
    <t>98/99</t>
  </si>
  <si>
    <t>99/00</t>
  </si>
  <si>
    <t>Year</t>
  </si>
  <si>
    <t>Bike Total</t>
  </si>
  <si>
    <t>95/96</t>
  </si>
  <si>
    <t>96/97</t>
  </si>
  <si>
    <t>3/16</t>
    <phoneticPr fontId="0" type="noConversion"/>
  </si>
  <si>
    <t>14/15</t>
    <phoneticPr fontId="3" type="noConversion"/>
  </si>
  <si>
    <t>15/16</t>
    <phoneticPr fontId="3" type="noConversion"/>
  </si>
  <si>
    <t>15/16</t>
    <phoneticPr fontId="3" type="noConversion"/>
  </si>
  <si>
    <t>9/15</t>
    <phoneticPr fontId="0" type="noConversion"/>
  </si>
  <si>
    <t>August</t>
  </si>
  <si>
    <t>September</t>
  </si>
  <si>
    <t>October</t>
  </si>
  <si>
    <t>November</t>
  </si>
  <si>
    <t xml:space="preserve">Adult as % of Total </t>
  </si>
  <si>
    <t>Annual Total Adult Bicycles</t>
  </si>
  <si>
    <t>3/15</t>
    <phoneticPr fontId="0" type="noConversion"/>
  </si>
  <si>
    <t>Jan-14</t>
    <phoneticPr fontId="3" type="noConversion"/>
  </si>
  <si>
    <t>Dec-13</t>
    <phoneticPr fontId="3" type="noConversion"/>
  </si>
  <si>
    <t>13/14</t>
    <phoneticPr fontId="3" type="noConversion"/>
  </si>
  <si>
    <t>09/10</t>
    <phoneticPr fontId="3" type="noConversion"/>
  </si>
  <si>
    <t>Aug</t>
    <phoneticPr fontId="3" type="noConversion"/>
  </si>
  <si>
    <t>Sep</t>
    <phoneticPr fontId="3" type="noConversion"/>
  </si>
  <si>
    <t>Oct</t>
    <phoneticPr fontId="3" type="noConversion"/>
  </si>
  <si>
    <t>Mar</t>
    <phoneticPr fontId="3" type="noConversion"/>
  </si>
  <si>
    <t>Apr</t>
    <phoneticPr fontId="3" type="noConversion"/>
  </si>
  <si>
    <t>May</t>
    <phoneticPr fontId="3" type="noConversion"/>
  </si>
  <si>
    <t>June</t>
    <phoneticPr fontId="3" type="noConversion"/>
  </si>
  <si>
    <t>Annual Bicycle Imports - Financial Year</t>
  </si>
  <si>
    <t>Annual Bicycle Imports - Calendar Year</t>
  </si>
  <si>
    <t>% Change from same quarter last year</t>
  </si>
  <si>
    <t>03/11</t>
  </si>
  <si>
    <t>Adult as % of annual total</t>
  </si>
  <si>
    <t>11/12</t>
    <phoneticPr fontId="3" type="noConversion"/>
  </si>
  <si>
    <t>Rolling 12 month total with % change over figure from 12 months earlier.</t>
  </si>
  <si>
    <t>3/14</t>
    <phoneticPr fontId="0" type="noConversion"/>
  </si>
  <si>
    <t>2014/15</t>
    <phoneticPr fontId="3" type="noConversion"/>
  </si>
  <si>
    <t>Month</t>
  </si>
  <si>
    <t>09/09</t>
  </si>
  <si>
    <t>Dec-09</t>
  </si>
  <si>
    <t>Apr-14</t>
    <phoneticPr fontId="3" type="noConversion"/>
  </si>
  <si>
    <t>9/16</t>
    <phoneticPr fontId="0" type="noConversion"/>
  </si>
  <si>
    <t>12/13</t>
    <phoneticPr fontId="0" type="noConversion"/>
  </si>
  <si>
    <t>6/13</t>
    <phoneticPr fontId="0" type="noConversion"/>
  </si>
  <si>
    <t>Rolling 12 Month Total</t>
  </si>
  <si>
    <t>Dec</t>
    <phoneticPr fontId="3" type="noConversion"/>
  </si>
  <si>
    <t>Jan</t>
    <phoneticPr fontId="3" type="noConversion"/>
  </si>
  <si>
    <t>Feb</t>
    <phoneticPr fontId="3" type="noConversion"/>
  </si>
  <si>
    <t>2011</t>
  </si>
  <si>
    <t>2012</t>
  </si>
  <si>
    <t>9/12</t>
  </si>
  <si>
    <t>MONTH</t>
  </si>
  <si>
    <t>12/12</t>
  </si>
  <si>
    <t>YEAR</t>
    <phoneticPr fontId="3" type="noConversion"/>
  </si>
  <si>
    <t>VALUE</t>
    <phoneticPr fontId="3" type="noConversion"/>
  </si>
  <si>
    <t>2013</t>
  </si>
  <si>
    <t>3/13</t>
  </si>
  <si>
    <t>ADULT BICYCLE IMPORTS - Cumulative</t>
    <phoneticPr fontId="3" type="noConversion"/>
  </si>
  <si>
    <t>09/08</t>
  </si>
  <si>
    <t>12/08</t>
  </si>
  <si>
    <t>June</t>
    <phoneticPr fontId="3" type="noConversion"/>
  </si>
  <si>
    <t>Jul</t>
    <phoneticPr fontId="3" type="noConversion"/>
  </si>
  <si>
    <t>Aug</t>
    <phoneticPr fontId="3" type="noConversion"/>
  </si>
  <si>
    <t>Sep</t>
    <phoneticPr fontId="3" type="noConversion"/>
  </si>
  <si>
    <t>Oct</t>
    <phoneticPr fontId="3" type="noConversion"/>
  </si>
  <si>
    <t>YR - 2016</t>
    <phoneticPr fontId="3" type="noConversion"/>
  </si>
  <si>
    <t>Jan</t>
    <phoneticPr fontId="3" type="noConversion"/>
  </si>
  <si>
    <t>Feb</t>
    <phoneticPr fontId="3" type="noConversion"/>
  </si>
  <si>
    <t>Mar</t>
    <phoneticPr fontId="3" type="noConversion"/>
  </si>
  <si>
    <t>Apr</t>
    <phoneticPr fontId="3" type="noConversion"/>
  </si>
  <si>
    <t>May</t>
    <phoneticPr fontId="3" type="noConversion"/>
  </si>
  <si>
    <t>Jun</t>
    <phoneticPr fontId="3" type="noConversion"/>
  </si>
  <si>
    <t>July</t>
    <phoneticPr fontId="3" type="noConversion"/>
  </si>
  <si>
    <t>Aug</t>
    <phoneticPr fontId="3" type="noConversion"/>
  </si>
  <si>
    <t>Sep</t>
    <phoneticPr fontId="3" type="noConversion"/>
  </si>
  <si>
    <t>Oct</t>
    <phoneticPr fontId="3" type="noConversion"/>
  </si>
  <si>
    <t>Nov</t>
    <phoneticPr fontId="3" type="noConversion"/>
  </si>
  <si>
    <t>Dec</t>
    <phoneticPr fontId="3" type="noConversion"/>
  </si>
  <si>
    <t>Yr 2017</t>
    <phoneticPr fontId="3" type="noConversion"/>
  </si>
  <si>
    <t>February</t>
  </si>
  <si>
    <t>March</t>
  </si>
  <si>
    <t>April</t>
  </si>
  <si>
    <t>May</t>
  </si>
  <si>
    <t>June</t>
  </si>
  <si>
    <t>July</t>
  </si>
  <si>
    <t>Number</t>
    <phoneticPr fontId="3" type="noConversion"/>
  </si>
  <si>
    <t>349846..91</t>
    <phoneticPr fontId="3" type="noConversion"/>
  </si>
  <si>
    <t>12/13</t>
    <phoneticPr fontId="3" type="noConversion"/>
  </si>
  <si>
    <t>03/09</t>
  </si>
  <si>
    <t>06/09</t>
  </si>
  <si>
    <t>10/11</t>
    <phoneticPr fontId="3" type="noConversion"/>
  </si>
  <si>
    <t>Quarter</t>
  </si>
  <si>
    <t>09/05</t>
  </si>
  <si>
    <t>12/05</t>
  </si>
  <si>
    <t>03/06</t>
  </si>
  <si>
    <t>06/06</t>
  </si>
  <si>
    <t>09/06</t>
  </si>
  <si>
    <t>12/06</t>
  </si>
  <si>
    <t>Total</t>
  </si>
  <si>
    <t>Annual total</t>
  </si>
  <si>
    <t>Financial Year Total</t>
  </si>
  <si>
    <t>Rolling 12 month total</t>
  </si>
  <si>
    <t>2012/13</t>
    <phoneticPr fontId="3" type="noConversion"/>
  </si>
  <si>
    <t>TOTAL</t>
    <phoneticPr fontId="3" type="noConversion"/>
  </si>
  <si>
    <t>AVE</t>
    <phoneticPr fontId="3" type="noConversion"/>
  </si>
  <si>
    <t>Jan</t>
    <phoneticPr fontId="3" type="noConversion"/>
  </si>
  <si>
    <t>Feb</t>
    <phoneticPr fontId="3" type="noConversion"/>
  </si>
  <si>
    <t>Mar</t>
    <phoneticPr fontId="3" type="noConversion"/>
  </si>
  <si>
    <t>TOTAL</t>
    <phoneticPr fontId="3" type="noConversion"/>
  </si>
  <si>
    <t>AVE</t>
    <phoneticPr fontId="3" type="noConversion"/>
  </si>
  <si>
    <t>Total kids values</t>
    <phoneticPr fontId="3" type="noConversion"/>
  </si>
  <si>
    <t>Total adults values</t>
    <phoneticPr fontId="3" type="noConversion"/>
  </si>
  <si>
    <t>Total annual value</t>
  </si>
  <si>
    <t>Ave value of import</t>
  </si>
  <si>
    <t>02/03</t>
  </si>
  <si>
    <t>12/14</t>
    <phoneticPr fontId="0" type="noConversion"/>
  </si>
  <si>
    <t>03/04</t>
  </si>
  <si>
    <t>04/05</t>
  </si>
  <si>
    <t>05/06</t>
  </si>
  <si>
    <t>Mar</t>
  </si>
  <si>
    <t>Oct</t>
    <phoneticPr fontId="3" type="noConversion"/>
  </si>
  <si>
    <t>Nov</t>
    <phoneticPr fontId="3" type="noConversion"/>
  </si>
  <si>
    <t>Dec</t>
    <phoneticPr fontId="3" type="noConversion"/>
  </si>
  <si>
    <t>Jan</t>
    <phoneticPr fontId="3" type="noConversion"/>
  </si>
  <si>
    <t>Apr</t>
    <phoneticPr fontId="3" type="noConversion"/>
  </si>
  <si>
    <t>Number</t>
    <phoneticPr fontId="3" type="noConversion"/>
  </si>
  <si>
    <t>Value</t>
    <phoneticPr fontId="3" type="noConversion"/>
  </si>
  <si>
    <t>17/18</t>
    <phoneticPr fontId="3" type="noConversion"/>
  </si>
  <si>
    <t>17/18</t>
    <phoneticPr fontId="3" type="noConversion"/>
  </si>
  <si>
    <t>17/18</t>
    <phoneticPr fontId="3" type="noConversion"/>
  </si>
  <si>
    <t>2017/18</t>
    <phoneticPr fontId="3" type="noConversion"/>
  </si>
  <si>
    <t>2016/17</t>
    <phoneticPr fontId="3" type="noConversion"/>
  </si>
  <si>
    <t>YEAR</t>
    <phoneticPr fontId="3" type="noConversion"/>
  </si>
  <si>
    <t>NUMBER</t>
    <phoneticPr fontId="3" type="noConversion"/>
  </si>
  <si>
    <t>Summary Data and Chart</t>
  </si>
  <si>
    <t>Market Breakdown</t>
  </si>
  <si>
    <t xml:space="preserve">Adult Bicycles % of Total </t>
  </si>
  <si>
    <t>CHILDREN BICYCLE IMPORTS - Cumulative</t>
    <phoneticPr fontId="3" type="noConversion"/>
  </si>
  <si>
    <t>14/15</t>
    <phoneticPr fontId="3" type="noConversion"/>
  </si>
  <si>
    <t>10/11</t>
  </si>
  <si>
    <t>09/11</t>
  </si>
  <si>
    <t>Monthly Imports</t>
  </si>
  <si>
    <t>12/11</t>
  </si>
  <si>
    <t>3/12</t>
  </si>
  <si>
    <t>6/12</t>
  </si>
  <si>
    <t>11/12</t>
  </si>
  <si>
    <t>Dec-12</t>
  </si>
  <si>
    <t>Jan-13</t>
  </si>
  <si>
    <t>Feb-13</t>
  </si>
  <si>
    <t>Mar-13</t>
  </si>
  <si>
    <t>Apr-13</t>
  </si>
  <si>
    <t>January</t>
  </si>
  <si>
    <t>Total adults units</t>
    <phoneticPr fontId="3" type="noConversion"/>
  </si>
  <si>
    <t>Kids ($)</t>
  </si>
  <si>
    <t>Nov</t>
    <phoneticPr fontId="3" type="noConversion"/>
  </si>
  <si>
    <t>2014/15</t>
    <phoneticPr fontId="3" type="noConversion"/>
  </si>
  <si>
    <t>Total kids units</t>
    <phoneticPr fontId="3" type="noConversion"/>
  </si>
  <si>
    <t>2012/13</t>
    <phoneticPr fontId="3" type="noConversion"/>
  </si>
  <si>
    <t>Number</t>
    <phoneticPr fontId="3" type="noConversion"/>
  </si>
  <si>
    <t>Nov</t>
    <phoneticPr fontId="3" type="noConversion"/>
  </si>
  <si>
    <t>Dec</t>
    <phoneticPr fontId="3" type="noConversion"/>
  </si>
  <si>
    <t>16/17</t>
    <phoneticPr fontId="3" type="noConversion"/>
  </si>
  <si>
    <t>June</t>
    <phoneticPr fontId="3" type="noConversion"/>
  </si>
  <si>
    <t>Value</t>
    <phoneticPr fontId="3" type="noConversion"/>
  </si>
  <si>
    <t>2014/15</t>
    <phoneticPr fontId="3" type="noConversion"/>
  </si>
  <si>
    <t>2012/13</t>
    <phoneticPr fontId="3" type="noConversion"/>
  </si>
  <si>
    <t>Jan</t>
  </si>
  <si>
    <t>Feb</t>
  </si>
  <si>
    <t>Feb</t>
    <phoneticPr fontId="3" type="noConversion"/>
  </si>
  <si>
    <t>Annual total adult Bicycles</t>
  </si>
  <si>
    <t>Children's Bicycles</t>
  </si>
  <si>
    <t>6/14</t>
    <phoneticPr fontId="0" type="noConversion"/>
  </si>
  <si>
    <t>13/14</t>
    <phoneticPr fontId="0" type="noConversion"/>
  </si>
  <si>
    <t>Adult Bicycles</t>
  </si>
  <si>
    <t>Adult as % of Annual Total</t>
  </si>
  <si>
    <t xml:space="preserve">                   Quarterly Import Figures Supplied by Australian Customs</t>
    <phoneticPr fontId="0" type="noConversion"/>
  </si>
  <si>
    <t>2015/16</t>
    <phoneticPr fontId="3" type="noConversion"/>
  </si>
  <si>
    <t>July</t>
    <phoneticPr fontId="3" type="noConversion"/>
  </si>
  <si>
    <t>Aug</t>
    <phoneticPr fontId="3" type="noConversion"/>
  </si>
  <si>
    <t>Sep</t>
    <phoneticPr fontId="3" type="noConversion"/>
  </si>
  <si>
    <t>Oct</t>
    <phoneticPr fontId="3" type="noConversion"/>
  </si>
  <si>
    <t>Mar</t>
    <phoneticPr fontId="3" type="noConversion"/>
  </si>
  <si>
    <t>Apr</t>
  </si>
  <si>
    <t>May</t>
    <phoneticPr fontId="3" type="noConversion"/>
  </si>
  <si>
    <t>June</t>
    <phoneticPr fontId="3" type="noConversion"/>
  </si>
  <si>
    <t>Ave Value</t>
  </si>
  <si>
    <t>2013/14</t>
  </si>
  <si>
    <t>03/10</t>
  </si>
  <si>
    <t>ROLLING 12 MONTH TOTAL</t>
  </si>
  <si>
    <t>% change</t>
  </si>
  <si>
    <t>1999/00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</si>
  <si>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</si>
  <si>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</si>
  <si>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</si>
  <si>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</si>
  <si>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</si>
  <si>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</si>
  <si>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</si>
  <si>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</si>
  <si>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</si>
  <si>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</si>
  <si>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</si>
  <si>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</si>
  <si>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</si>
  <si>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2014/15</t>
  </si>
  <si>
    <t>2015/16</t>
  </si>
  <si>
    <t>2016/17</t>
  </si>
  <si>
    <t>1998/99</t>
  </si>
  <si>
    <t>16/17</t>
  </si>
  <si>
    <t>12/17</t>
  </si>
  <si>
    <t>Yr 2018</t>
  </si>
  <si>
    <t>Jul</t>
  </si>
  <si>
    <t>03/18</t>
  </si>
  <si>
    <t>2017/18</t>
  </si>
  <si>
    <t>6/18</t>
  </si>
  <si>
    <t>18/19</t>
  </si>
  <si>
    <t>9/18</t>
  </si>
  <si>
    <t>2018/19</t>
  </si>
  <si>
    <t>12/18</t>
  </si>
  <si>
    <t>Yr 2019</t>
  </si>
  <si>
    <t>03/19</t>
  </si>
  <si>
    <t>06/19</t>
  </si>
  <si>
    <t xml:space="preserve">June </t>
  </si>
  <si>
    <t>TOTAL (12 mnth)</t>
  </si>
  <si>
    <t>MONTHLY AVE (12  months)</t>
  </si>
  <si>
    <t>19/20</t>
  </si>
  <si>
    <t>2019/20</t>
  </si>
  <si>
    <t>09/19</t>
  </si>
  <si>
    <t xml:space="preserve">Nov </t>
  </si>
  <si>
    <t>Yr 2020</t>
  </si>
  <si>
    <t>12/19</t>
  </si>
  <si>
    <t>03/20</t>
  </si>
  <si>
    <t>17/18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</si>
</sst>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0.0"/>
    <numFmt numFmtId="166" formatCode="mm/yy"/>
    <numFmt numFmtId="167" formatCode="\Q\Q\ yy"/>
    <numFmt numFmtId="168" formatCode="#,##0.0"/>
    <numFmt numFmtId="169" formatCode="&quot;$&quot;#,##0.00"/>
    <numFmt numFmtId="170" formatCode="#,##0_ ;\-#,##0\ "/>
    <numFmt numFmtId="171" formatCode="_-* #,##0_-;\-* #,##0_-;_-* &quot;-&quot;??_-;_-@_-"/>
    <numFmt numFmtId="172" formatCode="&quot;$&quot;#,##0"/>
    <numFmt numFmtId="173" formatCode="_-&quot;$&quot;* #,##0_-;\-&quot;$&quot;* #,##0_-;_-&quot;$&quot;* &quot;-&quot;??_-;_-@_-"/>
    <numFmt numFmtId="174" formatCode="_(&quot;$&quot;* #,##0_);_(&quot;$&quot;* \(#,##0\);_(&quot;$&quot;* &quot;-&quot;??_);_(@_)"/>
  </numFmts>
  <fonts count="3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8"/>
      <name val="Verdana"/>
      <family val="2"/>
    </font>
    <font>
      <sz val="10"/>
      <color indexed="53"/>
      <name val="Arial"/>
      <family val="2"/>
    </font>
    <font>
      <sz val="9"/>
      <name val="Arial"/>
      <family val="2"/>
    </font>
    <font>
      <b/>
      <sz val="9"/>
      <color indexed="53"/>
      <name val="Calibri"/>
      <family val="2"/>
    </font>
    <font>
      <sz val="9"/>
      <name val="Calibri"/>
      <family val="2"/>
    </font>
    <font>
      <sz val="9"/>
      <color indexed="53"/>
      <name val="Calibri"/>
      <family val="2"/>
    </font>
    <font>
      <sz val="9"/>
      <color indexed="53"/>
      <name val="Arial"/>
      <family val="2"/>
    </font>
    <font>
      <sz val="8"/>
      <color indexed="53"/>
      <name val="Arial"/>
      <family val="2"/>
    </font>
    <font>
      <b/>
      <sz val="8"/>
      <color indexed="53"/>
      <name val="Calibri"/>
      <family val="2"/>
    </font>
    <font>
      <sz val="8"/>
      <name val="Calibri"/>
      <family val="2"/>
    </font>
    <font>
      <sz val="8"/>
      <color indexed="53"/>
      <name val="Calibri"/>
      <family val="2"/>
    </font>
    <font>
      <b/>
      <sz val="9"/>
      <color indexed="8"/>
      <name val="Arial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9"/>
      <color indexed="8"/>
      <name val="Arial"/>
      <family val="2"/>
    </font>
    <font>
      <b/>
      <sz val="9"/>
      <color indexed="8"/>
      <name val="DejaVu Serif"/>
      <family val="1"/>
    </font>
    <font>
      <b/>
      <sz val="9"/>
      <color indexed="8"/>
      <name val="DejaVu Serif"/>
    </font>
    <font>
      <b/>
      <sz val="11"/>
      <color rgb="FFFA7D00"/>
      <name val="Calibri"/>
      <family val="2"/>
      <scheme val="minor"/>
    </font>
    <font>
      <sz val="8"/>
      <name val="Calibri"/>
      <family val="2"/>
      <scheme val="minor"/>
    </font>
    <font>
      <b/>
      <u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color indexed="53"/>
      <name val="Calibri"/>
      <family val="2"/>
      <scheme val="minor"/>
    </font>
    <font>
      <sz val="9"/>
      <color indexed="53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FA7D00"/>
      <name val="Calibri"/>
      <family val="2"/>
      <scheme val="minor"/>
    </font>
    <font>
      <sz val="9"/>
      <color indexed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23"/>
      </bottom>
      <diagonal/>
    </border>
    <border>
      <left style="thin">
        <color indexed="23"/>
      </left>
      <right/>
      <top style="thin">
        <color indexed="64"/>
      </top>
      <bottom style="thin">
        <color indexed="23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23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 style="thin">
        <color indexed="64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64"/>
      </bottom>
      <diagonal/>
    </border>
    <border>
      <left style="thin">
        <color indexed="23"/>
      </left>
      <right/>
      <top style="thin">
        <color indexed="23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23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">
    <xf numFmtId="0" fontId="0" fillId="0" borderId="0"/>
    <xf numFmtId="0" fontId="21" fillId="6" borderId="41" applyNumberFormat="0" applyAlignment="0" applyProtection="0"/>
    <xf numFmtId="43" fontId="1" fillId="0" borderId="0" applyFill="0" applyBorder="0" applyAlignment="0" applyProtection="0"/>
    <xf numFmtId="44" fontId="1" fillId="0" borderId="0" applyFill="0" applyBorder="0" applyAlignment="0" applyProtection="0"/>
    <xf numFmtId="9" fontId="1" fillId="0" borderId="0" applyFill="0" applyBorder="0" applyAlignment="0" applyProtection="0"/>
  </cellStyleXfs>
  <cellXfs count="372">
    <xf numFmtId="0" fontId="0" fillId="0" borderId="0" xfId="0"/>
    <xf numFmtId="0" fontId="4" fillId="0" borderId="0" xfId="0" applyFont="1"/>
    <xf numFmtId="0" fontId="5" fillId="0" borderId="0" xfId="0" applyFont="1"/>
    <xf numFmtId="0" fontId="6" fillId="2" borderId="2" xfId="0" applyFont="1" applyFill="1" applyBorder="1"/>
    <xf numFmtId="49" fontId="6" fillId="2" borderId="2" xfId="0" applyNumberFormat="1" applyFont="1" applyFill="1" applyBorder="1" applyAlignment="1">
      <alignment horizontal="right"/>
    </xf>
    <xf numFmtId="0" fontId="6" fillId="6" borderId="2" xfId="1" applyFont="1" applyBorder="1"/>
    <xf numFmtId="49" fontId="6" fillId="6" borderId="2" xfId="1" applyNumberFormat="1" applyFont="1" applyBorder="1" applyAlignment="1">
      <alignment horizontal="right"/>
    </xf>
    <xf numFmtId="3" fontId="7" fillId="6" borderId="2" xfId="1" applyNumberFormat="1" applyFont="1" applyBorder="1"/>
    <xf numFmtId="3" fontId="8" fillId="6" borderId="2" xfId="1" applyNumberFormat="1" applyFont="1" applyBorder="1"/>
    <xf numFmtId="3" fontId="9" fillId="0" borderId="2" xfId="0" applyNumberFormat="1" applyFont="1" applyBorder="1"/>
    <xf numFmtId="0" fontId="9" fillId="0" borderId="2" xfId="0" applyFont="1" applyBorder="1"/>
    <xf numFmtId="3" fontId="8" fillId="2" borderId="2" xfId="0" applyNumberFormat="1" applyFont="1" applyFill="1" applyBorder="1"/>
    <xf numFmtId="0" fontId="9" fillId="0" borderId="0" xfId="0" applyFont="1"/>
    <xf numFmtId="169" fontId="7" fillId="2" borderId="2" xfId="0" applyNumberFormat="1" applyFont="1" applyFill="1" applyBorder="1"/>
    <xf numFmtId="172" fontId="7" fillId="2" borderId="2" xfId="0" applyNumberFormat="1" applyFont="1" applyFill="1" applyBorder="1"/>
    <xf numFmtId="169" fontId="7" fillId="6" borderId="2" xfId="1" applyNumberFormat="1" applyFont="1" applyBorder="1"/>
    <xf numFmtId="172" fontId="7" fillId="6" borderId="2" xfId="1" applyNumberFormat="1" applyFont="1" applyBorder="1"/>
    <xf numFmtId="172" fontId="6" fillId="2" borderId="2" xfId="0" applyNumberFormat="1" applyFont="1" applyFill="1" applyBorder="1" applyAlignment="1">
      <alignment horizontal="right"/>
    </xf>
    <xf numFmtId="172" fontId="6" fillId="6" borderId="2" xfId="1" applyNumberFormat="1" applyFont="1" applyBorder="1" applyAlignment="1">
      <alignment horizontal="right"/>
    </xf>
    <xf numFmtId="49" fontId="6" fillId="2" borderId="3" xfId="0" applyNumberFormat="1" applyFont="1" applyFill="1" applyBorder="1" applyAlignment="1">
      <alignment horizontal="right"/>
    </xf>
    <xf numFmtId="172" fontId="6" fillId="2" borderId="3" xfId="0" applyNumberFormat="1" applyFont="1" applyFill="1" applyBorder="1" applyAlignment="1">
      <alignment horizontal="right"/>
    </xf>
    <xf numFmtId="172" fontId="6" fillId="6" borderId="3" xfId="1" applyNumberFormat="1" applyFont="1" applyBorder="1" applyAlignment="1">
      <alignment horizontal="right"/>
    </xf>
    <xf numFmtId="2" fontId="9" fillId="0" borderId="2" xfId="0" applyNumberFormat="1" applyFont="1" applyBorder="1"/>
    <xf numFmtId="1" fontId="7" fillId="2" borderId="2" xfId="0" applyNumberFormat="1" applyFont="1" applyFill="1" applyBorder="1"/>
    <xf numFmtId="0" fontId="10" fillId="0" borderId="0" xfId="0" applyFont="1"/>
    <xf numFmtId="172" fontId="7" fillId="0" borderId="2" xfId="0" applyNumberFormat="1" applyFont="1" applyBorder="1"/>
    <xf numFmtId="3" fontId="7" fillId="0" borderId="2" xfId="0" applyNumberFormat="1" applyFont="1" applyBorder="1"/>
    <xf numFmtId="0" fontId="7" fillId="0" borderId="0" xfId="0" applyFont="1"/>
    <xf numFmtId="3" fontId="7" fillId="0" borderId="2" xfId="0" applyNumberFormat="1" applyFont="1" applyBorder="1" applyAlignment="1">
      <alignment horizontal="right"/>
    </xf>
    <xf numFmtId="172" fontId="7" fillId="0" borderId="2" xfId="0" applyNumberFormat="1" applyFont="1" applyBorder="1" applyAlignment="1">
      <alignment horizontal="right"/>
    </xf>
    <xf numFmtId="0" fontId="7" fillId="0" borderId="2" xfId="0" applyFont="1" applyBorder="1"/>
    <xf numFmtId="0" fontId="6" fillId="0" borderId="2" xfId="0" applyFont="1" applyBorder="1" applyAlignment="1">
      <alignment horizontal="right"/>
    </xf>
    <xf numFmtId="172" fontId="7" fillId="0" borderId="3" xfId="0" applyNumberFormat="1" applyFont="1" applyBorder="1"/>
    <xf numFmtId="3" fontId="8" fillId="0" borderId="2" xfId="0" applyNumberFormat="1" applyFont="1" applyBorder="1"/>
    <xf numFmtId="3" fontId="8" fillId="0" borderId="2" xfId="0" applyNumberFormat="1" applyFont="1" applyBorder="1" applyAlignment="1">
      <alignment horizontal="right"/>
    </xf>
    <xf numFmtId="0" fontId="8" fillId="0" borderId="2" xfId="0" applyFont="1" applyBorder="1"/>
    <xf numFmtId="172" fontId="8" fillId="0" borderId="2" xfId="0" applyNumberFormat="1" applyFont="1" applyBorder="1"/>
    <xf numFmtId="172" fontId="8" fillId="0" borderId="3" xfId="0" applyNumberFormat="1" applyFont="1" applyBorder="1"/>
    <xf numFmtId="169" fontId="7" fillId="0" borderId="2" xfId="0" applyNumberFormat="1" applyFont="1" applyBorder="1"/>
    <xf numFmtId="172" fontId="6" fillId="0" borderId="2" xfId="0" applyNumberFormat="1" applyFont="1" applyBorder="1" applyAlignment="1">
      <alignment horizontal="right"/>
    </xf>
    <xf numFmtId="169" fontId="7" fillId="0" borderId="2" xfId="0" applyNumberFormat="1" applyFont="1" applyBorder="1" applyAlignment="1">
      <alignment horizontal="right"/>
    </xf>
    <xf numFmtId="0" fontId="8" fillId="0" borderId="2" xfId="0" applyFont="1" applyBorder="1" applyAlignment="1">
      <alignment horizontal="right"/>
    </xf>
    <xf numFmtId="1" fontId="7" fillId="0" borderId="2" xfId="0" applyNumberFormat="1" applyFont="1" applyBorder="1"/>
    <xf numFmtId="2" fontId="8" fillId="0" borderId="2" xfId="0" applyNumberFormat="1" applyFont="1" applyBorder="1"/>
    <xf numFmtId="1" fontId="7" fillId="0" borderId="2" xfId="0" applyNumberFormat="1" applyFont="1" applyBorder="1" applyAlignment="1">
      <alignment horizontal="right"/>
    </xf>
    <xf numFmtId="0" fontId="4" fillId="0" borderId="2" xfId="0" applyFont="1" applyBorder="1"/>
    <xf numFmtId="0" fontId="6" fillId="0" borderId="2" xfId="1" applyFont="1" applyFill="1" applyBorder="1"/>
    <xf numFmtId="3" fontId="7" fillId="0" borderId="2" xfId="1" applyNumberFormat="1" applyFont="1" applyFill="1" applyBorder="1"/>
    <xf numFmtId="3" fontId="7" fillId="0" borderId="2" xfId="0" applyNumberFormat="1" applyFont="1" applyFill="1" applyBorder="1"/>
    <xf numFmtId="172" fontId="7" fillId="0" borderId="2" xfId="1" applyNumberFormat="1" applyFont="1" applyFill="1" applyBorder="1"/>
    <xf numFmtId="172" fontId="7" fillId="0" borderId="2" xfId="0" applyNumberFormat="1" applyFont="1" applyFill="1" applyBorder="1"/>
    <xf numFmtId="0" fontId="7" fillId="0" borderId="2" xfId="0" applyFont="1" applyFill="1" applyBorder="1"/>
    <xf numFmtId="3" fontId="8" fillId="0" borderId="2" xfId="1" applyNumberFormat="1" applyFont="1" applyFill="1" applyBorder="1"/>
    <xf numFmtId="3" fontId="8" fillId="0" borderId="2" xfId="0" applyNumberFormat="1" applyFont="1" applyFill="1" applyBorder="1"/>
    <xf numFmtId="3" fontId="7" fillId="0" borderId="2" xfId="0" applyNumberFormat="1" applyFont="1" applyFill="1" applyBorder="1" applyAlignment="1">
      <alignment horizontal="right"/>
    </xf>
    <xf numFmtId="0" fontId="8" fillId="0" borderId="2" xfId="0" applyFont="1" applyFill="1" applyBorder="1"/>
    <xf numFmtId="172" fontId="7" fillId="0" borderId="2" xfId="0" applyNumberFormat="1" applyFont="1" applyFill="1" applyBorder="1" applyAlignment="1">
      <alignment horizontal="right"/>
    </xf>
    <xf numFmtId="0" fontId="7" fillId="0" borderId="0" xfId="0" applyFont="1" applyFill="1"/>
    <xf numFmtId="0" fontId="2" fillId="0" borderId="0" xfId="0" applyFont="1"/>
    <xf numFmtId="172" fontId="11" fillId="2" borderId="2" xfId="0" applyNumberFormat="1" applyFont="1" applyFill="1" applyBorder="1" applyAlignment="1">
      <alignment horizontal="right"/>
    </xf>
    <xf numFmtId="172" fontId="12" fillId="2" borderId="2" xfId="0" applyNumberFormat="1" applyFont="1" applyFill="1" applyBorder="1"/>
    <xf numFmtId="172" fontId="12" fillId="0" borderId="2" xfId="0" applyNumberFormat="1" applyFont="1" applyBorder="1"/>
    <xf numFmtId="172" fontId="11" fillId="2" borderId="3" xfId="0" applyNumberFormat="1" applyFont="1" applyFill="1" applyBorder="1" applyAlignment="1">
      <alignment horizontal="right"/>
    </xf>
    <xf numFmtId="172" fontId="11" fillId="6" borderId="2" xfId="1" applyNumberFormat="1" applyFont="1" applyBorder="1" applyAlignment="1">
      <alignment horizontal="right"/>
    </xf>
    <xf numFmtId="172" fontId="11" fillId="6" borderId="3" xfId="1" applyNumberFormat="1" applyFont="1" applyBorder="1" applyAlignment="1">
      <alignment horizontal="right"/>
    </xf>
    <xf numFmtId="172" fontId="12" fillId="6" borderId="2" xfId="1" applyNumberFormat="1" applyFont="1" applyBorder="1"/>
    <xf numFmtId="172" fontId="12" fillId="0" borderId="2" xfId="0" applyNumberFormat="1" applyFont="1" applyBorder="1" applyAlignment="1">
      <alignment horizontal="right"/>
    </xf>
    <xf numFmtId="0" fontId="10" fillId="0" borderId="2" xfId="0" applyFont="1" applyBorder="1"/>
    <xf numFmtId="172" fontId="12" fillId="0" borderId="3" xfId="0" applyNumberFormat="1" applyFont="1" applyBorder="1"/>
    <xf numFmtId="172" fontId="12" fillId="0" borderId="2" xfId="1" applyNumberFormat="1" applyFont="1" applyFill="1" applyBorder="1"/>
    <xf numFmtId="172" fontId="12" fillId="0" borderId="2" xfId="0" applyNumberFormat="1" applyFont="1" applyFill="1" applyBorder="1"/>
    <xf numFmtId="0" fontId="11" fillId="6" borderId="2" xfId="1" applyFont="1" applyBorder="1"/>
    <xf numFmtId="3" fontId="13" fillId="6" borderId="2" xfId="1" applyNumberFormat="1" applyFont="1" applyBorder="1"/>
    <xf numFmtId="3" fontId="10" fillId="0" borderId="2" xfId="0" applyNumberFormat="1" applyFont="1" applyBorder="1"/>
    <xf numFmtId="3" fontId="10" fillId="0" borderId="2" xfId="0" applyNumberFormat="1" applyFont="1" applyBorder="1" applyAlignment="1">
      <alignment horizontal="right"/>
    </xf>
    <xf numFmtId="0" fontId="11" fillId="7" borderId="2" xfId="0" applyFont="1" applyFill="1" applyBorder="1"/>
    <xf numFmtId="49" fontId="11" fillId="7" borderId="2" xfId="0" applyNumberFormat="1" applyFont="1" applyFill="1" applyBorder="1" applyAlignment="1">
      <alignment horizontal="right"/>
    </xf>
    <xf numFmtId="0" fontId="11" fillId="7" borderId="2" xfId="0" applyFont="1" applyFill="1" applyBorder="1" applyAlignment="1">
      <alignment horizontal="right"/>
    </xf>
    <xf numFmtId="49" fontId="11" fillId="7" borderId="3" xfId="0" applyNumberFormat="1" applyFont="1" applyFill="1" applyBorder="1" applyAlignment="1">
      <alignment horizontal="right"/>
    </xf>
    <xf numFmtId="0" fontId="13" fillId="0" borderId="4" xfId="0" applyFont="1" applyBorder="1" applyAlignment="1">
      <alignment horizontal="right"/>
    </xf>
    <xf numFmtId="0" fontId="13" fillId="0" borderId="5" xfId="0" applyFont="1" applyBorder="1" applyAlignment="1">
      <alignment horizontal="right"/>
    </xf>
    <xf numFmtId="3" fontId="12" fillId="2" borderId="2" xfId="0" applyNumberFormat="1" applyFont="1" applyFill="1" applyBorder="1"/>
    <xf numFmtId="3" fontId="12" fillId="0" borderId="2" xfId="0" applyNumberFormat="1" applyFont="1" applyBorder="1"/>
    <xf numFmtId="3" fontId="12" fillId="0" borderId="2" xfId="0" applyNumberFormat="1" applyFont="1" applyBorder="1" applyAlignment="1">
      <alignment horizontal="right"/>
    </xf>
    <xf numFmtId="0" fontId="12" fillId="0" borderId="2" xfId="0" applyFont="1" applyBorder="1"/>
    <xf numFmtId="0" fontId="12" fillId="0" borderId="3" xfId="0" applyFont="1" applyBorder="1"/>
    <xf numFmtId="3" fontId="12" fillId="0" borderId="6" xfId="0" applyNumberFormat="1" applyFont="1" applyBorder="1"/>
    <xf numFmtId="2" fontId="12" fillId="0" borderId="7" xfId="0" applyNumberFormat="1" applyFont="1" applyBorder="1"/>
    <xf numFmtId="172" fontId="12" fillId="0" borderId="6" xfId="0" applyNumberFormat="1" applyFont="1" applyBorder="1"/>
    <xf numFmtId="169" fontId="12" fillId="2" borderId="2" xfId="0" applyNumberFormat="1" applyFont="1" applyFill="1" applyBorder="1"/>
    <xf numFmtId="169" fontId="12" fillId="2" borderId="3" xfId="0" applyNumberFormat="1" applyFont="1" applyFill="1" applyBorder="1"/>
    <xf numFmtId="169" fontId="12" fillId="0" borderId="6" xfId="0" applyNumberFormat="1" applyFont="1" applyBorder="1"/>
    <xf numFmtId="0" fontId="11" fillId="7" borderId="2" xfId="1" applyFont="1" applyFill="1" applyBorder="1"/>
    <xf numFmtId="49" fontId="11" fillId="7" borderId="2" xfId="1" applyNumberFormat="1" applyFont="1" applyFill="1" applyBorder="1" applyAlignment="1">
      <alignment horizontal="right"/>
    </xf>
    <xf numFmtId="49" fontId="11" fillId="7" borderId="3" xfId="1" applyNumberFormat="1" applyFont="1" applyFill="1" applyBorder="1" applyAlignment="1">
      <alignment horizontal="right"/>
    </xf>
    <xf numFmtId="3" fontId="12" fillId="6" borderId="2" xfId="1" applyNumberFormat="1" applyFont="1" applyBorder="1"/>
    <xf numFmtId="0" fontId="12" fillId="0" borderId="0" xfId="0" applyFont="1"/>
    <xf numFmtId="169" fontId="12" fillId="6" borderId="2" xfId="1" applyNumberFormat="1" applyFont="1" applyBorder="1"/>
    <xf numFmtId="169" fontId="12" fillId="0" borderId="8" xfId="0" applyNumberFormat="1" applyFont="1" applyBorder="1"/>
    <xf numFmtId="3" fontId="13" fillId="0" borderId="0" xfId="1" applyNumberFormat="1" applyFont="1" applyFill="1" applyBorder="1"/>
    <xf numFmtId="171" fontId="22" fillId="0" borderId="6" xfId="2" applyNumberFormat="1" applyFont="1" applyBorder="1"/>
    <xf numFmtId="171" fontId="22" fillId="0" borderId="7" xfId="2" applyNumberFormat="1" applyFont="1" applyBorder="1"/>
    <xf numFmtId="0" fontId="11" fillId="0" borderId="2" xfId="0" applyFont="1" applyBorder="1" applyAlignment="1">
      <alignment horizontal="right"/>
    </xf>
    <xf numFmtId="3" fontId="13" fillId="2" borderId="2" xfId="0" applyNumberFormat="1" applyFont="1" applyFill="1" applyBorder="1"/>
    <xf numFmtId="3" fontId="13" fillId="0" borderId="2" xfId="0" applyNumberFormat="1" applyFont="1" applyBorder="1"/>
    <xf numFmtId="3" fontId="13" fillId="0" borderId="2" xfId="0" applyNumberFormat="1" applyFont="1" applyBorder="1" applyAlignment="1">
      <alignment horizontal="right"/>
    </xf>
    <xf numFmtId="0" fontId="13" fillId="0" borderId="2" xfId="0" applyFont="1" applyBorder="1"/>
    <xf numFmtId="0" fontId="13" fillId="0" borderId="3" xfId="0" applyFont="1" applyBorder="1"/>
    <xf numFmtId="49" fontId="11" fillId="6" borderId="2" xfId="1" applyNumberFormat="1" applyFont="1" applyBorder="1" applyAlignment="1">
      <alignment horizontal="right"/>
    </xf>
    <xf numFmtId="49" fontId="11" fillId="6" borderId="3" xfId="1" applyNumberFormat="1" applyFont="1" applyBorder="1" applyAlignment="1">
      <alignment horizontal="right"/>
    </xf>
    <xf numFmtId="172" fontId="12" fillId="0" borderId="0" xfId="0" applyNumberFormat="1" applyFont="1"/>
    <xf numFmtId="0" fontId="13" fillId="7" borderId="2" xfId="0" applyFont="1" applyFill="1" applyBorder="1" applyAlignment="1">
      <alignment horizontal="right"/>
    </xf>
    <xf numFmtId="1" fontId="12" fillId="0" borderId="2" xfId="0" applyNumberFormat="1" applyFont="1" applyFill="1" applyBorder="1"/>
    <xf numFmtId="172" fontId="22" fillId="0" borderId="2" xfId="3" applyNumberFormat="1" applyFont="1" applyFill="1" applyBorder="1"/>
    <xf numFmtId="169" fontId="13" fillId="2" borderId="2" xfId="0" applyNumberFormat="1" applyFont="1" applyFill="1" applyBorder="1"/>
    <xf numFmtId="169" fontId="13" fillId="0" borderId="2" xfId="0" applyNumberFormat="1" applyFont="1" applyBorder="1"/>
    <xf numFmtId="169" fontId="13" fillId="0" borderId="2" xfId="0" applyNumberFormat="1" applyFont="1" applyBorder="1" applyAlignment="1">
      <alignment horizontal="right"/>
    </xf>
    <xf numFmtId="169" fontId="12" fillId="0" borderId="2" xfId="0" applyNumberFormat="1" applyFont="1" applyBorder="1"/>
    <xf numFmtId="169" fontId="12" fillId="7" borderId="2" xfId="0" applyNumberFormat="1" applyFont="1" applyFill="1" applyBorder="1"/>
    <xf numFmtId="3" fontId="12" fillId="7" borderId="2" xfId="0" applyNumberFormat="1" applyFont="1" applyFill="1" applyBorder="1"/>
    <xf numFmtId="0" fontId="11" fillId="0" borderId="2" xfId="1" applyFont="1" applyFill="1" applyBorder="1"/>
    <xf numFmtId="3" fontId="12" fillId="0" borderId="2" xfId="1" applyNumberFormat="1" applyFont="1" applyFill="1" applyBorder="1"/>
    <xf numFmtId="3" fontId="12" fillId="0" borderId="2" xfId="0" applyNumberFormat="1" applyFont="1" applyFill="1" applyBorder="1"/>
    <xf numFmtId="0" fontId="12" fillId="0" borderId="2" xfId="0" applyFont="1" applyFill="1" applyBorder="1"/>
    <xf numFmtId="3" fontId="13" fillId="0" borderId="2" xfId="1" applyNumberFormat="1" applyFont="1" applyFill="1" applyBorder="1"/>
    <xf numFmtId="3" fontId="13" fillId="0" borderId="2" xfId="0" applyNumberFormat="1" applyFont="1" applyFill="1" applyBorder="1"/>
    <xf numFmtId="3" fontId="12" fillId="0" borderId="2" xfId="0" applyNumberFormat="1" applyFont="1" applyFill="1" applyBorder="1" applyAlignment="1">
      <alignment horizontal="right"/>
    </xf>
    <xf numFmtId="0" fontId="13" fillId="0" borderId="2" xfId="0" applyFont="1" applyFill="1" applyBorder="1"/>
    <xf numFmtId="169" fontId="12" fillId="7" borderId="2" xfId="1" applyNumberFormat="1" applyFont="1" applyFill="1" applyBorder="1"/>
    <xf numFmtId="169" fontId="12" fillId="7" borderId="2" xfId="0" applyNumberFormat="1" applyFont="1" applyFill="1" applyBorder="1" applyAlignment="1">
      <alignment horizontal="right"/>
    </xf>
    <xf numFmtId="0" fontId="13" fillId="0" borderId="2" xfId="0" applyFont="1" applyBorder="1" applyAlignment="1">
      <alignment horizontal="right"/>
    </xf>
    <xf numFmtId="172" fontId="13" fillId="2" borderId="2" xfId="0" applyNumberFormat="1" applyFont="1" applyFill="1" applyBorder="1"/>
    <xf numFmtId="172" fontId="13" fillId="0" borderId="2" xfId="0" applyNumberFormat="1" applyFont="1" applyBorder="1"/>
    <xf numFmtId="172" fontId="13" fillId="0" borderId="3" xfId="0" applyNumberFormat="1" applyFont="1" applyBorder="1"/>
    <xf numFmtId="172" fontId="11" fillId="0" borderId="2" xfId="0" applyNumberFormat="1" applyFont="1" applyBorder="1" applyAlignment="1">
      <alignment horizontal="right"/>
    </xf>
    <xf numFmtId="0" fontId="10" fillId="0" borderId="3" xfId="0" applyFont="1" applyBorder="1"/>
    <xf numFmtId="0" fontId="12" fillId="0" borderId="2" xfId="0" applyFont="1" applyBorder="1" applyAlignment="1">
      <alignment horizontal="right"/>
    </xf>
    <xf numFmtId="172" fontId="11" fillId="7" borderId="2" xfId="0" applyNumberFormat="1" applyFont="1" applyFill="1" applyBorder="1" applyAlignment="1">
      <alignment horizontal="right"/>
    </xf>
    <xf numFmtId="0" fontId="23" fillId="0" borderId="0" xfId="0" applyFont="1"/>
    <xf numFmtId="0" fontId="24" fillId="0" borderId="0" xfId="0" applyFont="1"/>
    <xf numFmtId="0" fontId="25" fillId="8" borderId="2" xfId="1" applyFont="1" applyFill="1" applyBorder="1"/>
    <xf numFmtId="49" fontId="25" fillId="8" borderId="2" xfId="1" applyNumberFormat="1" applyFont="1" applyFill="1" applyBorder="1" applyAlignment="1">
      <alignment horizontal="right"/>
    </xf>
    <xf numFmtId="49" fontId="25" fillId="8" borderId="2" xfId="1" applyNumberFormat="1" applyFont="1" applyFill="1" applyBorder="1" applyAlignment="1">
      <alignment horizontal="right"/>
    </xf>
    <xf numFmtId="49" fontId="25" fillId="6" borderId="0" xfId="1" applyNumberFormat="1" applyFont="1" applyBorder="1" applyAlignment="1">
      <alignment horizontal="right"/>
    </xf>
    <xf numFmtId="0" fontId="25" fillId="6" borderId="2" xfId="1" applyFont="1" applyBorder="1"/>
    <xf numFmtId="3" fontId="26" fillId="6" borderId="2" xfId="1" applyNumberFormat="1" applyFont="1" applyBorder="1"/>
    <xf numFmtId="3" fontId="26" fillId="0" borderId="2" xfId="0" applyNumberFormat="1" applyFont="1" applyBorder="1"/>
    <xf numFmtId="3" fontId="26" fillId="0" borderId="2" xfId="0" applyNumberFormat="1" applyFont="1" applyBorder="1"/>
    <xf numFmtId="3" fontId="26" fillId="0" borderId="0" xfId="0" applyNumberFormat="1" applyFont="1" applyBorder="1"/>
    <xf numFmtId="0" fontId="27" fillId="0" borderId="0" xfId="0" applyFont="1" applyAlignment="1">
      <alignment horizontal="center"/>
    </xf>
    <xf numFmtId="0" fontId="25" fillId="8" borderId="2" xfId="0" applyFont="1" applyFill="1" applyBorder="1" applyAlignment="1">
      <alignment horizontal="right"/>
    </xf>
    <xf numFmtId="0" fontId="25" fillId="8" borderId="2" xfId="0" applyFont="1" applyFill="1" applyBorder="1" applyAlignment="1">
      <alignment horizontal="right"/>
    </xf>
    <xf numFmtId="3" fontId="26" fillId="0" borderId="2" xfId="0" applyNumberFormat="1" applyFont="1" applyBorder="1" applyAlignment="1">
      <alignment horizontal="right"/>
    </xf>
    <xf numFmtId="3" fontId="26" fillId="0" borderId="2" xfId="0" applyNumberFormat="1" applyFont="1" applyBorder="1" applyAlignment="1">
      <alignment horizontal="right"/>
    </xf>
    <xf numFmtId="0" fontId="5" fillId="2" borderId="0" xfId="0" applyFont="1" applyFill="1"/>
    <xf numFmtId="165" fontId="14" fillId="2" borderId="0" xfId="0" applyNumberFormat="1" applyFont="1" applyFill="1" applyBorder="1" applyAlignment="1" applyProtection="1">
      <alignment horizontal="left" vertical="top" indent="1"/>
    </xf>
    <xf numFmtId="0" fontId="7" fillId="2" borderId="0" xfId="0" applyFont="1" applyFill="1" applyAlignment="1">
      <alignment vertical="top"/>
    </xf>
    <xf numFmtId="165" fontId="15" fillId="2" borderId="0" xfId="0" applyNumberFormat="1" applyFont="1" applyFill="1" applyBorder="1" applyAlignment="1" applyProtection="1">
      <alignment vertical="top"/>
    </xf>
    <xf numFmtId="165" fontId="15" fillId="2" borderId="0" xfId="0" applyNumberFormat="1" applyFont="1" applyFill="1" applyBorder="1" applyAlignment="1" applyProtection="1">
      <alignment horizontal="left" vertical="top"/>
    </xf>
    <xf numFmtId="165" fontId="15" fillId="2" borderId="0" xfId="0" applyNumberFormat="1" applyFont="1" applyFill="1" applyBorder="1" applyAlignment="1" applyProtection="1">
      <alignment horizontal="left" vertical="top" indent="1"/>
    </xf>
    <xf numFmtId="0" fontId="5" fillId="2" borderId="0" xfId="0" applyFont="1" applyFill="1" applyAlignment="1">
      <alignment horizontal="left" vertical="top" wrapText="1"/>
    </xf>
    <xf numFmtId="0" fontId="7" fillId="2" borderId="0" xfId="0" applyFont="1" applyFill="1"/>
    <xf numFmtId="0" fontId="16" fillId="2" borderId="0" xfId="0" applyNumberFormat="1" applyFont="1" applyFill="1" applyBorder="1" applyAlignment="1" applyProtection="1"/>
    <xf numFmtId="0" fontId="17" fillId="0" borderId="9" xfId="0" applyFont="1" applyBorder="1"/>
    <xf numFmtId="17" fontId="15" fillId="0" borderId="10" xfId="0" applyNumberFormat="1" applyFont="1" applyBorder="1" applyAlignment="1" applyProtection="1">
      <alignment horizontal="right" vertical="top"/>
    </xf>
    <xf numFmtId="49" fontId="15" fillId="0" borderId="10" xfId="0" applyNumberFormat="1" applyFont="1" applyBorder="1" applyAlignment="1" applyProtection="1">
      <alignment horizontal="right" vertical="top"/>
    </xf>
    <xf numFmtId="17" fontId="17" fillId="0" borderId="10" xfId="0" applyNumberFormat="1" applyFont="1" applyBorder="1" applyAlignment="1">
      <alignment horizontal="right" vertical="top"/>
    </xf>
    <xf numFmtId="17" fontId="17" fillId="0" borderId="0" xfId="0" applyNumberFormat="1" applyFont="1" applyBorder="1" applyAlignment="1">
      <alignment horizontal="center" vertical="top" wrapText="1"/>
    </xf>
    <xf numFmtId="0" fontId="7" fillId="0" borderId="0" xfId="0" applyFont="1" applyBorder="1"/>
    <xf numFmtId="3" fontId="15" fillId="0" borderId="11" xfId="0" applyNumberFormat="1" applyFont="1" applyBorder="1" applyAlignment="1" applyProtection="1">
      <alignment wrapText="1"/>
    </xf>
    <xf numFmtId="3" fontId="16" fillId="0" borderId="0" xfId="0" applyNumberFormat="1" applyFont="1" applyBorder="1" applyAlignment="1" applyProtection="1"/>
    <xf numFmtId="168" fontId="16" fillId="0" borderId="0" xfId="0" applyNumberFormat="1" applyFont="1" applyBorder="1" applyAlignment="1" applyProtection="1"/>
    <xf numFmtId="3" fontId="16" fillId="0" borderId="0" xfId="0" applyNumberFormat="1" applyFont="1" applyFill="1" applyBorder="1" applyAlignment="1" applyProtection="1"/>
    <xf numFmtId="3" fontId="7" fillId="0" borderId="0" xfId="0" applyNumberFormat="1" applyFont="1"/>
    <xf numFmtId="3" fontId="15" fillId="0" borderId="2" xfId="0" applyNumberFormat="1" applyFont="1" applyBorder="1" applyAlignment="1" applyProtection="1">
      <alignment wrapText="1"/>
    </xf>
    <xf numFmtId="168" fontId="7" fillId="0" borderId="0" xfId="0" applyNumberFormat="1" applyFont="1"/>
    <xf numFmtId="10" fontId="16" fillId="0" borderId="0" xfId="0" applyNumberFormat="1" applyFont="1" applyBorder="1" applyAlignment="1" applyProtection="1"/>
    <xf numFmtId="3" fontId="16" fillId="0" borderId="12" xfId="0" applyNumberFormat="1" applyFont="1" applyBorder="1" applyAlignment="1" applyProtection="1"/>
    <xf numFmtId="3" fontId="15" fillId="0" borderId="0" xfId="0" applyNumberFormat="1" applyFont="1" applyBorder="1" applyAlignment="1" applyProtection="1">
      <alignment wrapText="1"/>
    </xf>
    <xf numFmtId="17" fontId="17" fillId="0" borderId="10" xfId="0" applyNumberFormat="1" applyFont="1" applyBorder="1"/>
    <xf numFmtId="17" fontId="15" fillId="0" borderId="10" xfId="0" applyNumberFormat="1" applyFont="1" applyBorder="1" applyAlignment="1" applyProtection="1"/>
    <xf numFmtId="3" fontId="18" fillId="0" borderId="0" xfId="0" applyNumberFormat="1" applyFont="1" applyBorder="1" applyAlignment="1" applyProtection="1"/>
    <xf numFmtId="3" fontId="5" fillId="0" borderId="0" xfId="0" applyNumberFormat="1" applyFont="1"/>
    <xf numFmtId="3" fontId="19" fillId="0" borderId="0" xfId="0" applyNumberFormat="1" applyFont="1" applyBorder="1" applyAlignment="1" applyProtection="1"/>
    <xf numFmtId="3" fontId="20" fillId="0" borderId="0" xfId="0" applyNumberFormat="1" applyFont="1" applyBorder="1" applyAlignment="1" applyProtection="1">
      <alignment wrapText="1"/>
    </xf>
    <xf numFmtId="0" fontId="18" fillId="0" borderId="0" xfId="0" applyNumberFormat="1" applyFont="1" applyBorder="1" applyAlignment="1" applyProtection="1"/>
    <xf numFmtId="0" fontId="14" fillId="0" borderId="0" xfId="0" applyNumberFormat="1" applyFont="1" applyBorder="1" applyAlignment="1" applyProtection="1"/>
    <xf numFmtId="0" fontId="28" fillId="3" borderId="2" xfId="0" applyFont="1" applyFill="1" applyBorder="1"/>
    <xf numFmtId="3" fontId="24" fillId="0" borderId="2" xfId="0" applyNumberFormat="1" applyFont="1" applyBorder="1"/>
    <xf numFmtId="0" fontId="24" fillId="4" borderId="2" xfId="0" applyFont="1" applyFill="1" applyBorder="1"/>
    <xf numFmtId="0" fontId="24" fillId="4" borderId="2" xfId="0" applyFont="1" applyFill="1" applyBorder="1"/>
    <xf numFmtId="3" fontId="24" fillId="0" borderId="2" xfId="0" applyNumberFormat="1" applyFont="1" applyBorder="1"/>
    <xf numFmtId="3" fontId="24" fillId="0" borderId="0" xfId="0" applyNumberFormat="1" applyFont="1"/>
    <xf numFmtId="0" fontId="16" fillId="2" borderId="0" xfId="0" applyNumberFormat="1" applyFont="1" applyFill="1" applyBorder="1" applyAlignment="1" applyProtection="1">
      <alignment horizontal="right"/>
    </xf>
    <xf numFmtId="0" fontId="15" fillId="2" borderId="0" xfId="0" applyNumberFormat="1" applyFont="1" applyFill="1" applyBorder="1" applyAlignment="1" applyProtection="1">
      <alignment vertical="top"/>
    </xf>
    <xf numFmtId="0" fontId="15" fillId="2" borderId="0" xfId="0" applyNumberFormat="1" applyFont="1" applyFill="1" applyBorder="1" applyAlignment="1" applyProtection="1">
      <alignment horizontal="center" vertical="top"/>
    </xf>
    <xf numFmtId="0" fontId="16" fillId="0" borderId="1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/>
    <xf numFmtId="0" fontId="15" fillId="0" borderId="2" xfId="0" applyNumberFormat="1" applyFont="1" applyFill="1" applyBorder="1" applyAlignment="1" applyProtection="1">
      <alignment horizontal="right"/>
    </xf>
    <xf numFmtId="0" fontId="16" fillId="0" borderId="0" xfId="0" applyNumberFormat="1" applyFont="1" applyBorder="1" applyAlignment="1" applyProtection="1"/>
    <xf numFmtId="0" fontId="16" fillId="0" borderId="0" xfId="0" applyNumberFormat="1" applyFont="1" applyBorder="1" applyAlignment="1" applyProtection="1">
      <alignment horizontal="right"/>
    </xf>
    <xf numFmtId="3" fontId="16" fillId="0" borderId="0" xfId="0" applyNumberFormat="1" applyFont="1" applyBorder="1" applyAlignment="1" applyProtection="1">
      <alignment horizontal="right"/>
    </xf>
    <xf numFmtId="14" fontId="16" fillId="0" borderId="0" xfId="0" applyNumberFormat="1" applyFont="1" applyBorder="1" applyAlignment="1" applyProtection="1">
      <alignment horizontal="right"/>
    </xf>
    <xf numFmtId="0" fontId="7" fillId="0" borderId="0" xfId="0" applyFont="1" applyAlignment="1">
      <alignment horizontal="right"/>
    </xf>
    <xf numFmtId="49" fontId="16" fillId="0" borderId="0" xfId="0" applyNumberFormat="1" applyFont="1" applyBorder="1" applyAlignment="1" applyProtection="1">
      <alignment horizontal="right"/>
    </xf>
    <xf numFmtId="16" fontId="16" fillId="0" borderId="0" xfId="0" applyNumberFormat="1" applyFont="1" applyBorder="1" applyAlignment="1" applyProtection="1">
      <alignment horizontal="right"/>
    </xf>
    <xf numFmtId="3" fontId="15" fillId="0" borderId="0" xfId="0" applyNumberFormat="1" applyFont="1" applyBorder="1" applyAlignment="1" applyProtection="1"/>
    <xf numFmtId="0" fontId="15" fillId="0" borderId="13" xfId="0" applyNumberFormat="1" applyFont="1" applyBorder="1" applyAlignment="1" applyProtection="1">
      <alignment vertical="top"/>
    </xf>
    <xf numFmtId="0" fontId="16" fillId="0" borderId="0" xfId="0" applyNumberFormat="1" applyFont="1" applyBorder="1" applyAlignment="1" applyProtection="1">
      <alignment vertical="top"/>
    </xf>
    <xf numFmtId="3" fontId="7" fillId="0" borderId="0" xfId="0" applyNumberFormat="1" applyFont="1" applyFill="1" applyAlignment="1">
      <alignment horizontal="right"/>
    </xf>
    <xf numFmtId="3" fontId="7" fillId="0" borderId="0" xfId="2" applyNumberFormat="1" applyFont="1" applyBorder="1" applyAlignment="1" applyProtection="1"/>
    <xf numFmtId="170" fontId="16" fillId="0" borderId="0" xfId="0" applyNumberFormat="1" applyFont="1" applyBorder="1" applyAlignment="1" applyProtection="1"/>
    <xf numFmtId="0" fontId="16" fillId="0" borderId="0" xfId="0" applyNumberFormat="1" applyFont="1" applyFill="1" applyBorder="1" applyAlignment="1" applyProtection="1">
      <alignment horizontal="right"/>
    </xf>
    <xf numFmtId="3" fontId="15" fillId="0" borderId="0" xfId="0" applyNumberFormat="1" applyFont="1" applyFill="1" applyBorder="1" applyAlignment="1" applyProtection="1"/>
    <xf numFmtId="3" fontId="17" fillId="0" borderId="0" xfId="0" applyNumberFormat="1" applyFont="1" applyFill="1" applyAlignment="1">
      <alignment horizontal="right"/>
    </xf>
    <xf numFmtId="0" fontId="17" fillId="2" borderId="0" xfId="0" applyFont="1" applyFill="1" applyAlignment="1">
      <alignment horizontal="center"/>
    </xf>
    <xf numFmtId="0" fontId="17" fillId="2" borderId="0" xfId="0" applyFont="1" applyFill="1" applyAlignment="1">
      <alignment vertical="top"/>
    </xf>
    <xf numFmtId="0" fontId="7" fillId="0" borderId="10" xfId="0" applyFont="1" applyFill="1" applyBorder="1" applyAlignment="1">
      <alignment horizontal="right" vertical="top"/>
    </xf>
    <xf numFmtId="0" fontId="17" fillId="0" borderId="2" xfId="0" applyFont="1" applyFill="1" applyBorder="1" applyAlignment="1">
      <alignment horizontal="center" vertical="top"/>
    </xf>
    <xf numFmtId="9" fontId="7" fillId="0" borderId="0" xfId="4" applyFont="1"/>
    <xf numFmtId="0" fontId="29" fillId="6" borderId="14" xfId="1" applyFont="1" applyBorder="1"/>
    <xf numFmtId="0" fontId="29" fillId="6" borderId="15" xfId="1" applyFont="1" applyBorder="1"/>
    <xf numFmtId="0" fontId="29" fillId="6" borderId="16" xfId="1" applyFont="1" applyBorder="1"/>
    <xf numFmtId="0" fontId="29" fillId="6" borderId="17" xfId="1" applyFont="1" applyBorder="1"/>
    <xf numFmtId="0" fontId="29" fillId="6" borderId="18" xfId="1" applyFont="1" applyBorder="1"/>
    <xf numFmtId="0" fontId="29" fillId="6" borderId="19" xfId="1" applyFont="1" applyBorder="1"/>
    <xf numFmtId="0" fontId="25" fillId="7" borderId="2" xfId="0" applyFont="1" applyFill="1" applyBorder="1" applyAlignment="1">
      <alignment horizontal="left"/>
    </xf>
    <xf numFmtId="3" fontId="26" fillId="2" borderId="1" xfId="1" applyNumberFormat="1" applyFont="1" applyFill="1" applyBorder="1"/>
    <xf numFmtId="3" fontId="26" fillId="2" borderId="20" xfId="1" applyNumberFormat="1" applyFont="1" applyFill="1" applyBorder="1"/>
    <xf numFmtId="3" fontId="26" fillId="2" borderId="21" xfId="1" applyNumberFormat="1" applyFont="1" applyFill="1" applyBorder="1"/>
    <xf numFmtId="3" fontId="26" fillId="2" borderId="2" xfId="0" applyNumberFormat="1" applyFont="1" applyFill="1" applyBorder="1"/>
    <xf numFmtId="3" fontId="26" fillId="2" borderId="22" xfId="1" applyNumberFormat="1" applyFont="1" applyFill="1" applyBorder="1"/>
    <xf numFmtId="3" fontId="26" fillId="2" borderId="23" xfId="1" applyNumberFormat="1" applyFont="1" applyFill="1" applyBorder="1"/>
    <xf numFmtId="3" fontId="26" fillId="2" borderId="24" xfId="1" applyNumberFormat="1" applyFont="1" applyFill="1" applyBorder="1"/>
    <xf numFmtId="3" fontId="16" fillId="2" borderId="0" xfId="0" applyNumberFormat="1" applyFont="1" applyFill="1" applyBorder="1" applyAlignment="1" applyProtection="1">
      <alignment horizontal="right"/>
    </xf>
    <xf numFmtId="0" fontId="16" fillId="2" borderId="0" xfId="0" applyNumberFormat="1" applyFont="1" applyFill="1" applyBorder="1" applyAlignment="1" applyProtection="1">
      <alignment vertical="top" wrapText="1"/>
    </xf>
    <xf numFmtId="0" fontId="16" fillId="2" borderId="0" xfId="0" applyNumberFormat="1" applyFont="1" applyFill="1" applyBorder="1" applyAlignment="1" applyProtection="1">
      <alignment wrapText="1"/>
    </xf>
    <xf numFmtId="165" fontId="16" fillId="2" borderId="0" xfId="0" applyNumberFormat="1" applyFont="1" applyFill="1" applyBorder="1" applyAlignment="1" applyProtection="1"/>
    <xf numFmtId="3" fontId="7" fillId="2" borderId="0" xfId="0" applyNumberFormat="1" applyFont="1" applyFill="1"/>
    <xf numFmtId="0" fontId="17" fillId="0" borderId="2" xfId="0" applyFont="1" applyBorder="1"/>
    <xf numFmtId="166" fontId="15" fillId="0" borderId="3" xfId="0" applyNumberFormat="1" applyFont="1" applyBorder="1" applyAlignment="1" applyProtection="1">
      <alignment horizontal="right" vertical="top"/>
    </xf>
    <xf numFmtId="166" fontId="15" fillId="0" borderId="25" xfId="0" applyNumberFormat="1" applyFont="1" applyBorder="1" applyAlignment="1" applyProtection="1">
      <alignment horizontal="right" vertical="top"/>
    </xf>
    <xf numFmtId="49" fontId="15" fillId="0" borderId="25" xfId="0" applyNumberFormat="1" applyFont="1" applyBorder="1" applyAlignment="1" applyProtection="1">
      <alignment horizontal="right" vertical="top"/>
    </xf>
    <xf numFmtId="49" fontId="15" fillId="0" borderId="25" xfId="0" applyNumberFormat="1" applyFont="1" applyBorder="1" applyAlignment="1" applyProtection="1">
      <alignment horizontal="right" vertical="top"/>
      <protection locked="0"/>
    </xf>
    <xf numFmtId="17" fontId="15" fillId="0" borderId="2" xfId="0" applyNumberFormat="1" applyFont="1" applyBorder="1" applyAlignment="1" applyProtection="1"/>
    <xf numFmtId="166" fontId="16" fillId="0" borderId="10" xfId="0" applyNumberFormat="1" applyFont="1" applyBorder="1" applyAlignment="1" applyProtection="1"/>
    <xf numFmtId="3" fontId="16" fillId="0" borderId="12" xfId="0" applyNumberFormat="1" applyFont="1" applyBorder="1" applyAlignment="1" applyProtection="1">
      <alignment horizontal="right"/>
    </xf>
    <xf numFmtId="3" fontId="16" fillId="0" borderId="26" xfId="0" applyNumberFormat="1" applyFont="1" applyBorder="1" applyAlignment="1" applyProtection="1">
      <alignment horizontal="right"/>
    </xf>
    <xf numFmtId="3" fontId="16" fillId="0" borderId="27" xfId="0" applyNumberFormat="1" applyFont="1" applyBorder="1" applyAlignment="1" applyProtection="1"/>
    <xf numFmtId="3" fontId="15" fillId="0" borderId="2" xfId="0" applyNumberFormat="1" applyFont="1" applyBorder="1" applyAlignment="1" applyProtection="1"/>
    <xf numFmtId="3" fontId="15" fillId="0" borderId="2" xfId="0" applyNumberFormat="1" applyFont="1" applyBorder="1" applyAlignment="1" applyProtection="1">
      <alignment vertical="top" wrapText="1"/>
    </xf>
    <xf numFmtId="9" fontId="7" fillId="0" borderId="0" xfId="4" applyFont="1" applyBorder="1" applyAlignment="1" applyProtection="1"/>
    <xf numFmtId="3" fontId="15" fillId="0" borderId="0" xfId="0" applyNumberFormat="1" applyFont="1" applyBorder="1" applyAlignment="1" applyProtection="1">
      <alignment horizontal="right"/>
    </xf>
    <xf numFmtId="0" fontId="15" fillId="0" borderId="2" xfId="0" applyNumberFormat="1" applyFont="1" applyBorder="1" applyAlignment="1" applyProtection="1"/>
    <xf numFmtId="0" fontId="16" fillId="0" borderId="12" xfId="0" applyNumberFormat="1" applyFont="1" applyBorder="1" applyAlignment="1" applyProtection="1"/>
    <xf numFmtId="3" fontId="16" fillId="0" borderId="28" xfId="0" applyNumberFormat="1" applyFont="1" applyBorder="1" applyAlignment="1" applyProtection="1">
      <alignment horizontal="right"/>
    </xf>
    <xf numFmtId="0" fontId="7" fillId="0" borderId="29" xfId="0" applyFont="1" applyBorder="1"/>
    <xf numFmtId="0" fontId="7" fillId="0" borderId="30" xfId="0" applyFont="1" applyBorder="1"/>
    <xf numFmtId="0" fontId="16" fillId="0" borderId="31" xfId="0" applyNumberFormat="1" applyFont="1" applyBorder="1" applyAlignment="1" applyProtection="1"/>
    <xf numFmtId="0" fontId="7" fillId="0" borderId="31" xfId="0" applyFont="1" applyBorder="1"/>
    <xf numFmtId="0" fontId="7" fillId="0" borderId="32" xfId="0" applyFont="1" applyBorder="1"/>
    <xf numFmtId="0" fontId="16" fillId="0" borderId="33" xfId="0" applyNumberFormat="1" applyFont="1" applyBorder="1" applyAlignment="1" applyProtection="1"/>
    <xf numFmtId="0" fontId="7" fillId="0" borderId="34" xfId="0" applyFont="1" applyBorder="1"/>
    <xf numFmtId="0" fontId="16" fillId="0" borderId="34" xfId="0" applyNumberFormat="1" applyFont="1" applyBorder="1" applyAlignment="1" applyProtection="1"/>
    <xf numFmtId="0" fontId="16" fillId="0" borderId="34" xfId="0" applyNumberFormat="1" applyFont="1" applyBorder="1" applyAlignment="1" applyProtection="1">
      <alignment horizontal="right"/>
    </xf>
    <xf numFmtId="3" fontId="16" fillId="0" borderId="34" xfId="0" applyNumberFormat="1" applyFont="1" applyBorder="1" applyAlignment="1" applyProtection="1">
      <alignment horizontal="right"/>
    </xf>
    <xf numFmtId="0" fontId="16" fillId="0" borderId="35" xfId="0" applyNumberFormat="1" applyFont="1" applyBorder="1" applyAlignment="1" applyProtection="1"/>
    <xf numFmtId="0" fontId="15" fillId="0" borderId="0" xfId="0" applyNumberFormat="1" applyFont="1" applyBorder="1" applyAlignment="1" applyProtection="1"/>
    <xf numFmtId="167" fontId="16" fillId="0" borderId="0" xfId="0" applyNumberFormat="1" applyFont="1" applyBorder="1" applyAlignment="1" applyProtection="1"/>
    <xf numFmtId="0" fontId="7" fillId="0" borderId="36" xfId="0" applyFont="1" applyBorder="1"/>
    <xf numFmtId="0" fontId="17" fillId="0" borderId="37" xfId="0" applyFont="1" applyBorder="1"/>
    <xf numFmtId="0" fontId="7" fillId="0" borderId="10" xfId="0" applyFont="1" applyBorder="1"/>
    <xf numFmtId="0" fontId="7" fillId="0" borderId="10" xfId="0" applyFont="1" applyBorder="1" applyAlignment="1">
      <alignment horizontal="right"/>
    </xf>
    <xf numFmtId="0" fontId="16" fillId="0" borderId="10" xfId="0" applyNumberFormat="1" applyFont="1" applyBorder="1" applyAlignment="1" applyProtection="1"/>
    <xf numFmtId="3" fontId="16" fillId="0" borderId="10" xfId="0" applyNumberFormat="1" applyFont="1" applyBorder="1" applyAlignment="1" applyProtection="1">
      <alignment horizontal="right"/>
    </xf>
    <xf numFmtId="0" fontId="7" fillId="0" borderId="25" xfId="0" applyFont="1" applyBorder="1"/>
    <xf numFmtId="0" fontId="15" fillId="0" borderId="2" xfId="0" applyNumberFormat="1" applyFont="1" applyBorder="1" applyAlignment="1" applyProtection="1">
      <alignment vertical="top" wrapText="1"/>
    </xf>
    <xf numFmtId="3" fontId="16" fillId="0" borderId="38" xfId="0" applyNumberFormat="1" applyFont="1" applyBorder="1" applyAlignment="1" applyProtection="1"/>
    <xf numFmtId="3" fontId="16" fillId="0" borderId="10" xfId="0" applyNumberFormat="1" applyFont="1" applyBorder="1" applyAlignment="1" applyProtection="1"/>
    <xf numFmtId="9" fontId="16" fillId="0" borderId="0" xfId="0" applyNumberFormat="1" applyFont="1" applyBorder="1" applyAlignment="1" applyProtection="1"/>
    <xf numFmtId="9" fontId="16" fillId="0" borderId="0" xfId="0" applyNumberFormat="1" applyFont="1" applyBorder="1" applyAlignment="1" applyProtection="1">
      <alignment horizontal="right"/>
    </xf>
    <xf numFmtId="0" fontId="16" fillId="0" borderId="2" xfId="0" applyNumberFormat="1" applyFont="1" applyBorder="1" applyAlignment="1" applyProtection="1"/>
    <xf numFmtId="3" fontId="16" fillId="0" borderId="31" xfId="0" applyNumberFormat="1" applyFont="1" applyBorder="1" applyAlignment="1" applyProtection="1"/>
    <xf numFmtId="0" fontId="16" fillId="0" borderId="31" xfId="0" applyNumberFormat="1" applyFont="1" applyBorder="1" applyAlignment="1" applyProtection="1">
      <alignment horizontal="right"/>
    </xf>
    <xf numFmtId="3" fontId="16" fillId="0" borderId="31" xfId="0" applyNumberFormat="1" applyFont="1" applyBorder="1" applyAlignment="1" applyProtection="1">
      <alignment horizontal="right"/>
    </xf>
    <xf numFmtId="0" fontId="7" fillId="0" borderId="39" xfId="0" applyFont="1" applyBorder="1"/>
    <xf numFmtId="14" fontId="15" fillId="0" borderId="0" xfId="0" applyNumberFormat="1" applyFont="1" applyBorder="1" applyAlignment="1" applyProtection="1"/>
    <xf numFmtId="1" fontId="16" fillId="0" borderId="0" xfId="0" applyNumberFormat="1" applyFont="1" applyBorder="1" applyAlignment="1" applyProtection="1"/>
    <xf numFmtId="10" fontId="7" fillId="0" borderId="0" xfId="0" applyNumberFormat="1" applyFont="1"/>
    <xf numFmtId="3" fontId="16" fillId="0" borderId="0" xfId="0" applyNumberFormat="1" applyFont="1" applyFill="1" applyBorder="1" applyAlignment="1" applyProtection="1">
      <alignment horizontal="right"/>
    </xf>
    <xf numFmtId="0" fontId="24" fillId="5" borderId="2" xfId="0" applyFont="1" applyFill="1" applyBorder="1" applyAlignment="1">
      <alignment horizontal="left"/>
    </xf>
    <xf numFmtId="169" fontId="24" fillId="0" borderId="2" xfId="0" applyNumberFormat="1" applyFont="1" applyBorder="1"/>
    <xf numFmtId="0" fontId="24" fillId="5" borderId="2" xfId="0" applyFont="1" applyFill="1" applyBorder="1" applyAlignment="1">
      <alignment horizontal="left"/>
    </xf>
    <xf numFmtId="169" fontId="24" fillId="0" borderId="2" xfId="0" applyNumberFormat="1" applyFont="1" applyBorder="1"/>
    <xf numFmtId="0" fontId="24" fillId="4" borderId="0" xfId="0" applyFont="1" applyFill="1"/>
    <xf numFmtId="0" fontId="24" fillId="4" borderId="0" xfId="0" applyNumberFormat="1" applyFont="1" applyFill="1" applyBorder="1"/>
    <xf numFmtId="171" fontId="30" fillId="4" borderId="0" xfId="2" applyNumberFormat="1" applyFont="1" applyFill="1" applyBorder="1"/>
    <xf numFmtId="172" fontId="30" fillId="4" borderId="0" xfId="3" applyNumberFormat="1" applyFont="1" applyFill="1" applyBorder="1"/>
    <xf numFmtId="44" fontId="30" fillId="4" borderId="0" xfId="3" applyFont="1" applyFill="1" applyBorder="1" applyAlignment="1">
      <alignment horizontal="center" wrapText="1"/>
    </xf>
    <xf numFmtId="0" fontId="24" fillId="4" borderId="0" xfId="0" applyFont="1" applyFill="1" applyBorder="1" applyAlignment="1">
      <alignment horizontal="center" wrapText="1"/>
    </xf>
    <xf numFmtId="0" fontId="24" fillId="4" borderId="0" xfId="0" applyFont="1" applyFill="1" applyBorder="1"/>
    <xf numFmtId="171" fontId="30" fillId="4" borderId="0" xfId="2" applyNumberFormat="1" applyFont="1" applyFill="1" applyAlignment="1">
      <alignment horizontal="center" wrapText="1"/>
    </xf>
    <xf numFmtId="0" fontId="24" fillId="4" borderId="0" xfId="0" applyFont="1" applyFill="1" applyAlignment="1">
      <alignment horizontal="center" wrapText="1"/>
    </xf>
    <xf numFmtId="17" fontId="24" fillId="0" borderId="0" xfId="0" applyNumberFormat="1" applyFont="1"/>
    <xf numFmtId="171" fontId="24" fillId="0" borderId="0" xfId="2" applyNumberFormat="1" applyFont="1"/>
    <xf numFmtId="171" fontId="30" fillId="0" borderId="0" xfId="2" applyNumberFormat="1" applyFont="1"/>
    <xf numFmtId="172" fontId="30" fillId="0" borderId="0" xfId="3" applyNumberFormat="1" applyFont="1"/>
    <xf numFmtId="44" fontId="30" fillId="0" borderId="0" xfId="3" applyFont="1"/>
    <xf numFmtId="44" fontId="24" fillId="0" borderId="0" xfId="0" applyNumberFormat="1" applyFont="1"/>
    <xf numFmtId="173" fontId="30" fillId="0" borderId="0" xfId="3" applyNumberFormat="1" applyFont="1"/>
    <xf numFmtId="44" fontId="24" fillId="0" borderId="0" xfId="3" applyFont="1"/>
    <xf numFmtId="173" fontId="24" fillId="0" borderId="0" xfId="0" applyNumberFormat="1" applyFont="1"/>
    <xf numFmtId="173" fontId="24" fillId="0" borderId="0" xfId="3" applyNumberFormat="1" applyFont="1"/>
    <xf numFmtId="171" fontId="24" fillId="0" borderId="0" xfId="2" applyNumberFormat="1" applyFont="1" applyBorder="1"/>
    <xf numFmtId="171" fontId="30" fillId="0" borderId="0" xfId="2" applyNumberFormat="1" applyFont="1" applyBorder="1"/>
    <xf numFmtId="44" fontId="30" fillId="0" borderId="0" xfId="3" applyFont="1" applyFill="1"/>
    <xf numFmtId="171" fontId="30" fillId="0" borderId="0" xfId="2" applyNumberFormat="1" applyFont="1" applyFill="1"/>
    <xf numFmtId="164" fontId="24" fillId="0" borderId="0" xfId="0" applyNumberFormat="1" applyFont="1"/>
    <xf numFmtId="172" fontId="30" fillId="0" borderId="0" xfId="3" applyNumberFormat="1" applyFont="1" applyBorder="1"/>
    <xf numFmtId="3" fontId="24" fillId="0" borderId="0" xfId="0" applyNumberFormat="1" applyFont="1" applyAlignment="1"/>
    <xf numFmtId="172" fontId="24" fillId="0" borderId="0" xfId="3" applyNumberFormat="1" applyFont="1"/>
    <xf numFmtId="49" fontId="24" fillId="0" borderId="0" xfId="0" applyNumberFormat="1" applyFont="1" applyAlignment="1">
      <alignment horizontal="right"/>
    </xf>
    <xf numFmtId="1" fontId="24" fillId="0" borderId="0" xfId="0" applyNumberFormat="1" applyFont="1"/>
    <xf numFmtId="172" fontId="24" fillId="0" borderId="0" xfId="0" applyNumberFormat="1" applyFont="1"/>
    <xf numFmtId="174" fontId="24" fillId="0" borderId="0" xfId="0" applyNumberFormat="1" applyFont="1"/>
    <xf numFmtId="169" fontId="24" fillId="0" borderId="0" xfId="0" applyNumberFormat="1" applyFont="1"/>
    <xf numFmtId="16" fontId="24" fillId="0" borderId="0" xfId="0" applyNumberFormat="1" applyFont="1"/>
    <xf numFmtId="1" fontId="24" fillId="0" borderId="0" xfId="0" applyNumberFormat="1" applyFont="1" applyAlignment="1">
      <alignment horizontal="right"/>
    </xf>
    <xf numFmtId="172" fontId="24" fillId="0" borderId="0" xfId="3" applyNumberFormat="1" applyFont="1" applyAlignment="1">
      <alignment horizontal="right"/>
    </xf>
    <xf numFmtId="3" fontId="24" fillId="0" borderId="0" xfId="2" applyNumberFormat="1" applyFont="1"/>
    <xf numFmtId="172" fontId="25" fillId="2" borderId="2" xfId="0" applyNumberFormat="1" applyFont="1" applyFill="1" applyBorder="1"/>
    <xf numFmtId="172" fontId="25" fillId="2" borderId="2" xfId="0" applyNumberFormat="1" applyFont="1" applyFill="1" applyBorder="1" applyAlignment="1">
      <alignment horizontal="right"/>
    </xf>
    <xf numFmtId="172" fontId="25" fillId="0" borderId="2" xfId="0" applyNumberFormat="1" applyFont="1" applyBorder="1" applyAlignment="1">
      <alignment horizontal="right"/>
    </xf>
    <xf numFmtId="172" fontId="26" fillId="0" borderId="40" xfId="0" applyNumberFormat="1" applyFont="1" applyBorder="1" applyAlignment="1">
      <alignment horizontal="right"/>
    </xf>
    <xf numFmtId="172" fontId="24" fillId="2" borderId="2" xfId="0" applyNumberFormat="1" applyFont="1" applyFill="1" applyBorder="1"/>
    <xf numFmtId="172" fontId="24" fillId="0" borderId="2" xfId="0" applyNumberFormat="1" applyFont="1" applyBorder="1"/>
    <xf numFmtId="172" fontId="24" fillId="0" borderId="2" xfId="0" applyNumberFormat="1" applyFont="1" applyBorder="1" applyAlignment="1">
      <alignment horizontal="right"/>
    </xf>
    <xf numFmtId="172" fontId="24" fillId="0" borderId="3" xfId="0" applyNumberFormat="1" applyFont="1" applyBorder="1"/>
    <xf numFmtId="169" fontId="24" fillId="0" borderId="2" xfId="0" applyNumberFormat="1" applyFont="1" applyFill="1" applyBorder="1"/>
    <xf numFmtId="172" fontId="26" fillId="0" borderId="2" xfId="0" applyNumberFormat="1" applyFont="1" applyBorder="1"/>
    <xf numFmtId="172" fontId="26" fillId="0" borderId="3" xfId="0" applyNumberFormat="1" applyFont="1" applyBorder="1"/>
    <xf numFmtId="172" fontId="25" fillId="2" borderId="3" xfId="0" applyNumberFormat="1" applyFont="1" applyFill="1" applyBorder="1" applyAlignment="1">
      <alignment horizontal="right"/>
    </xf>
    <xf numFmtId="172" fontId="25" fillId="6" borderId="2" xfId="1" applyNumberFormat="1" applyFont="1" applyBorder="1"/>
    <xf numFmtId="172" fontId="25" fillId="6" borderId="2" xfId="1" applyNumberFormat="1" applyFont="1" applyBorder="1" applyAlignment="1">
      <alignment horizontal="right"/>
    </xf>
    <xf numFmtId="172" fontId="25" fillId="6" borderId="3" xfId="1" applyNumberFormat="1" applyFont="1" applyBorder="1" applyAlignment="1">
      <alignment horizontal="right"/>
    </xf>
    <xf numFmtId="172" fontId="24" fillId="6" borderId="2" xfId="1" applyNumberFormat="1" applyFont="1" applyBorder="1"/>
    <xf numFmtId="0" fontId="26" fillId="0" borderId="0" xfId="0" applyFont="1"/>
    <xf numFmtId="0" fontId="26" fillId="0" borderId="2" xfId="0" applyFont="1" applyBorder="1"/>
    <xf numFmtId="0" fontId="25" fillId="6" borderId="2" xfId="1" applyNumberFormat="1" applyFont="1" applyBorder="1"/>
    <xf numFmtId="0" fontId="25" fillId="7" borderId="2" xfId="1" applyNumberFormat="1" applyFont="1" applyFill="1" applyBorder="1"/>
    <xf numFmtId="172" fontId="25" fillId="7" borderId="2" xfId="1" applyNumberFormat="1" applyFont="1" applyFill="1" applyBorder="1" applyAlignment="1">
      <alignment horizontal="right"/>
    </xf>
    <xf numFmtId="172" fontId="25" fillId="7" borderId="2" xfId="0" applyNumberFormat="1" applyFont="1" applyFill="1" applyBorder="1" applyAlignment="1">
      <alignment horizontal="right"/>
    </xf>
    <xf numFmtId="172" fontId="25" fillId="7" borderId="3" xfId="1" applyNumberFormat="1" applyFont="1" applyFill="1" applyBorder="1" applyAlignment="1">
      <alignment horizontal="right"/>
    </xf>
    <xf numFmtId="172" fontId="24" fillId="7" borderId="2" xfId="0" applyNumberFormat="1" applyFont="1" applyFill="1" applyBorder="1"/>
    <xf numFmtId="172" fontId="25" fillId="0" borderId="2" xfId="1" applyNumberFormat="1" applyFont="1" applyFill="1" applyBorder="1"/>
    <xf numFmtId="172" fontId="24" fillId="0" borderId="2" xfId="1" applyNumberFormat="1" applyFont="1" applyFill="1" applyBorder="1"/>
    <xf numFmtId="172" fontId="24" fillId="0" borderId="2" xfId="0" applyNumberFormat="1" applyFont="1" applyFill="1" applyBorder="1"/>
    <xf numFmtId="172" fontId="24" fillId="0" borderId="2" xfId="0" applyNumberFormat="1" applyFont="1" applyFill="1" applyBorder="1" applyAlignment="1">
      <alignment horizontal="right"/>
    </xf>
    <xf numFmtId="172" fontId="24" fillId="0" borderId="3" xfId="0" applyNumberFormat="1" applyFont="1" applyFill="1" applyBorder="1"/>
    <xf numFmtId="172" fontId="2" fillId="0" borderId="0" xfId="3" applyNumberFormat="1" applyFont="1"/>
    <xf numFmtId="1" fontId="12" fillId="0" borderId="7" xfId="0" applyNumberFormat="1" applyFont="1" applyBorder="1"/>
    <xf numFmtId="172" fontId="2" fillId="0" borderId="2" xfId="3" applyNumberFormat="1" applyFont="1" applyFill="1" applyBorder="1"/>
    <xf numFmtId="0" fontId="24" fillId="0" borderId="0" xfId="0" applyFont="1"/>
    <xf numFmtId="0" fontId="15" fillId="0" borderId="10" xfId="0" applyNumberFormat="1" applyFont="1" applyFill="1" applyBorder="1" applyAlignment="1" applyProtection="1">
      <alignment horizontal="center" vertical="top"/>
    </xf>
    <xf numFmtId="0" fontId="15" fillId="2" borderId="0" xfId="0" applyNumberFormat="1" applyFont="1" applyFill="1" applyBorder="1" applyAlignment="1" applyProtection="1">
      <alignment horizontal="right" vertical="top"/>
    </xf>
    <xf numFmtId="0" fontId="17" fillId="0" borderId="3" xfId="0" applyFont="1" applyFill="1" applyBorder="1" applyAlignment="1">
      <alignment horizontal="center" vertical="top"/>
    </xf>
    <xf numFmtId="0" fontId="17" fillId="0" borderId="9" xfId="0" applyFont="1" applyFill="1" applyBorder="1" applyAlignment="1">
      <alignment horizontal="center" vertical="top"/>
    </xf>
    <xf numFmtId="0" fontId="17" fillId="2" borderId="0" xfId="0" applyFont="1" applyFill="1" applyAlignment="1">
      <alignment horizontal="center" vertical="top"/>
    </xf>
    <xf numFmtId="0" fontId="15" fillId="2" borderId="0" xfId="0" applyNumberFormat="1" applyFont="1" applyFill="1" applyBorder="1" applyAlignment="1" applyProtection="1">
      <alignment horizontal="center" vertical="top"/>
    </xf>
    <xf numFmtId="0" fontId="2" fillId="0" borderId="0" xfId="0" applyFont="1"/>
    <xf numFmtId="0" fontId="4" fillId="0" borderId="0" xfId="0" applyFont="1"/>
    <xf numFmtId="0" fontId="5" fillId="0" borderId="0" xfId="0" applyFont="1"/>
  </cellXfs>
  <cellStyles count="5">
    <cellStyle name="Calculation" xfId="1" builtinId="22"/>
    <cellStyle name="Comma" xfId="2" builtinId="3"/>
    <cellStyle name="Currency" xfId="3" builtinId="4"/>
    <cellStyle name="Normal" xfId="0" builtinId="0"/>
    <cellStyle name="Percent" xfId="4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F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externalLink" Target="externalLinks/externalLink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externalLink" Target="externalLinks/externalLink7.xml"/><Relationship Id="rId30" Type="http://schemas.openxmlformats.org/officeDocument/2006/relationships/externalLink" Target="externalLinks/externalLink10.xml"/><Relationship Id="rId8" Type="http://schemas.openxmlformats.org/officeDocument/2006/relationships/worksheet" Target="worksheets/sheet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AU"/>
              <a:t>Financial Year Monthly Bicycle Imports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678931190121"/>
          <c:y val="0.24761890368134801"/>
          <c:w val="0.704128637507346"/>
          <c:h val="0.69047578911145102"/>
        </c:manualLayout>
      </c:layout>
      <c:lineChart>
        <c:grouping val="standard"/>
        <c:varyColors val="0"/>
        <c:ser>
          <c:idx val="0"/>
          <c:order val="0"/>
          <c:tx>
            <c:v>2009/10</c:v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val>
            <c:numRef>
              <c:f>Monthly_Imports!$B$13:$M$13</c:f>
              <c:numCache>
                <c:formatCode>#,##0</c:formatCode>
                <c:ptCount val="12"/>
                <c:pt idx="0">
                  <c:v>105977</c:v>
                </c:pt>
                <c:pt idx="1">
                  <c:v>116849</c:v>
                </c:pt>
                <c:pt idx="2">
                  <c:v>142791</c:v>
                </c:pt>
                <c:pt idx="3">
                  <c:v>197815</c:v>
                </c:pt>
                <c:pt idx="4">
                  <c:v>179431</c:v>
                </c:pt>
                <c:pt idx="5">
                  <c:v>69750</c:v>
                </c:pt>
                <c:pt idx="6">
                  <c:v>52599</c:v>
                </c:pt>
                <c:pt idx="7">
                  <c:v>70996</c:v>
                </c:pt>
                <c:pt idx="8">
                  <c:v>55944</c:v>
                </c:pt>
                <c:pt idx="9">
                  <c:v>44395</c:v>
                </c:pt>
                <c:pt idx="10">
                  <c:v>114063</c:v>
                </c:pt>
                <c:pt idx="11">
                  <c:v>93788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95B-4F3B-AC13-95E1A77EC8B6}"/>
            </c:ext>
          </c:extLst>
        </c:ser>
        <c:ser>
          <c:idx val="1"/>
          <c:order val="1"/>
          <c:tx>
            <c:v>2010/11</c:v>
          </c:tx>
          <c:spPr>
            <a:ln w="25400">
              <a:solidFill>
                <a:srgbClr val="993300"/>
              </a:solidFill>
              <a:prstDash val="solid"/>
            </a:ln>
          </c:spPr>
          <c:marker>
            <c:symbol val="none"/>
          </c:marker>
          <c:val>
            <c:numRef>
              <c:f>Monthly_Imports!$B$19:$M$19</c:f>
              <c:numCache>
                <c:formatCode>#,##0</c:formatCode>
                <c:ptCount val="12"/>
                <c:pt idx="0">
                  <c:v>119475</c:v>
                </c:pt>
                <c:pt idx="1">
                  <c:v>151548</c:v>
                </c:pt>
                <c:pt idx="2">
                  <c:v>180690</c:v>
                </c:pt>
                <c:pt idx="3">
                  <c:v>165282</c:v>
                </c:pt>
                <c:pt idx="4">
                  <c:v>177894</c:v>
                </c:pt>
                <c:pt idx="5">
                  <c:v>86772</c:v>
                </c:pt>
                <c:pt idx="6">
                  <c:v>49786</c:v>
                </c:pt>
                <c:pt idx="7">
                  <c:v>54349</c:v>
                </c:pt>
                <c:pt idx="8">
                  <c:v>50466</c:v>
                </c:pt>
                <c:pt idx="9">
                  <c:v>38064</c:v>
                </c:pt>
                <c:pt idx="10">
                  <c:v>62054</c:v>
                </c:pt>
                <c:pt idx="11">
                  <c:v>81706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95B-4F3B-AC13-95E1A77EC8B6}"/>
            </c:ext>
          </c:extLst>
        </c:ser>
        <c:ser>
          <c:idx val="2"/>
          <c:order val="2"/>
          <c:tx>
            <c:v>2011/12</c:v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none"/>
          </c:marker>
          <c:val>
            <c:numRef>
              <c:f>Monthly_Imports!$B$25:$M$25</c:f>
              <c:numCache>
                <c:formatCode>#,##0</c:formatCode>
                <c:ptCount val="12"/>
                <c:pt idx="0">
                  <c:v>61442</c:v>
                </c:pt>
                <c:pt idx="1">
                  <c:v>130788</c:v>
                </c:pt>
                <c:pt idx="2">
                  <c:v>167454</c:v>
                </c:pt>
                <c:pt idx="3">
                  <c:v>135585</c:v>
                </c:pt>
                <c:pt idx="4">
                  <c:v>156495</c:v>
                </c:pt>
                <c:pt idx="5">
                  <c:v>95327</c:v>
                </c:pt>
                <c:pt idx="6">
                  <c:v>63233</c:v>
                </c:pt>
                <c:pt idx="7">
                  <c:v>49158</c:v>
                </c:pt>
                <c:pt idx="8">
                  <c:v>59392</c:v>
                </c:pt>
                <c:pt idx="9">
                  <c:v>54183</c:v>
                </c:pt>
                <c:pt idx="10">
                  <c:v>107201</c:v>
                </c:pt>
                <c:pt idx="11">
                  <c:v>86454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95B-4F3B-AC13-95E1A77EC8B6}"/>
            </c:ext>
          </c:extLst>
        </c:ser>
        <c:ser>
          <c:idx val="3"/>
          <c:order val="3"/>
          <c:tx>
            <c:v>2012/13</c:v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val>
            <c:numRef>
              <c:f>Monthly_Imports!$B$31:$M$31</c:f>
              <c:numCache>
                <c:formatCode>#,##0</c:formatCode>
                <c:ptCount val="12"/>
                <c:pt idx="0">
                  <c:v>123122</c:v>
                </c:pt>
                <c:pt idx="1">
                  <c:v>134603</c:v>
                </c:pt>
                <c:pt idx="2">
                  <c:v>172463</c:v>
                </c:pt>
                <c:pt idx="3">
                  <c:v>190566</c:v>
                </c:pt>
                <c:pt idx="4">
                  <c:v>187784</c:v>
                </c:pt>
                <c:pt idx="5">
                  <c:v>129434</c:v>
                </c:pt>
                <c:pt idx="6">
                  <c:v>80018</c:v>
                </c:pt>
                <c:pt idx="7">
                  <c:v>62882</c:v>
                </c:pt>
                <c:pt idx="8">
                  <c:v>44767</c:v>
                </c:pt>
                <c:pt idx="9">
                  <c:v>55178</c:v>
                </c:pt>
                <c:pt idx="10">
                  <c:v>148506</c:v>
                </c:pt>
                <c:pt idx="11">
                  <c:v>87090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95B-4F3B-AC13-95E1A77EC8B6}"/>
            </c:ext>
          </c:extLst>
        </c:ser>
        <c:ser>
          <c:idx val="4"/>
          <c:order val="4"/>
          <c:tx>
            <c:v>2013/14</c:v>
          </c:tx>
          <c:spPr>
            <a:ln w="25400">
              <a:solidFill>
                <a:srgbClr val="33CCCC"/>
              </a:solidFill>
              <a:prstDash val="solid"/>
            </a:ln>
          </c:spPr>
          <c:marker>
            <c:symbol val="none"/>
          </c:marker>
          <c:val>
            <c:numRef>
              <c:f>Monthly_Imports!$B$37:$M$37</c:f>
              <c:numCache>
                <c:formatCode>#,##0</c:formatCode>
                <c:ptCount val="12"/>
                <c:pt idx="0">
                  <c:v>121435</c:v>
                </c:pt>
                <c:pt idx="1">
                  <c:v>126382</c:v>
                </c:pt>
                <c:pt idx="2">
                  <c:v>160271</c:v>
                </c:pt>
                <c:pt idx="3">
                  <c:v>152851</c:v>
                </c:pt>
                <c:pt idx="4">
                  <c:v>215402</c:v>
                </c:pt>
                <c:pt idx="5">
                  <c:v>111082</c:v>
                </c:pt>
                <c:pt idx="6">
                  <c:v>78111.899999999994</c:v>
                </c:pt>
                <c:pt idx="7">
                  <c:v>55233</c:v>
                </c:pt>
                <c:pt idx="8">
                  <c:v>47212</c:v>
                </c:pt>
                <c:pt idx="9">
                  <c:v>48816</c:v>
                </c:pt>
                <c:pt idx="10">
                  <c:v>96294</c:v>
                </c:pt>
                <c:pt idx="11">
                  <c:v>95919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95B-4F3B-AC13-95E1A77EC8B6}"/>
            </c:ext>
          </c:extLst>
        </c:ser>
        <c:ser>
          <c:idx val="5"/>
          <c:order val="5"/>
          <c:tx>
            <c:v>2014/15</c:v>
          </c:tx>
          <c:spPr>
            <a:ln w="25400">
              <a:solidFill>
                <a:srgbClr val="FF6F00"/>
              </a:solidFill>
              <a:prstDash val="solid"/>
            </a:ln>
          </c:spPr>
          <c:marker>
            <c:symbol val="none"/>
          </c:marker>
          <c:val>
            <c:numRef>
              <c:f>Monthly_Imports!$B$43:$M$43</c:f>
              <c:numCache>
                <c:formatCode>#,##0</c:formatCode>
                <c:ptCount val="12"/>
                <c:pt idx="0">
                  <c:v>116573</c:v>
                </c:pt>
                <c:pt idx="1">
                  <c:v>135186</c:v>
                </c:pt>
                <c:pt idx="2">
                  <c:v>170878</c:v>
                </c:pt>
                <c:pt idx="3">
                  <c:v>229779</c:v>
                </c:pt>
                <c:pt idx="4">
                  <c:v>192807</c:v>
                </c:pt>
                <c:pt idx="5">
                  <c:v>118857</c:v>
                </c:pt>
                <c:pt idx="6">
                  <c:v>68886</c:v>
                </c:pt>
                <c:pt idx="7">
                  <c:v>66693</c:v>
                </c:pt>
                <c:pt idx="8">
                  <c:v>40900</c:v>
                </c:pt>
                <c:pt idx="9">
                  <c:v>76437</c:v>
                </c:pt>
                <c:pt idx="10">
                  <c:v>75657</c:v>
                </c:pt>
                <c:pt idx="11">
                  <c:v>127172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95B-4F3B-AC13-95E1A77EC8B6}"/>
            </c:ext>
          </c:extLst>
        </c:ser>
        <c:ser>
          <c:idx val="6"/>
          <c:order val="6"/>
          <c:tx>
            <c:v>2015/16</c:v>
          </c:tx>
          <c:spPr>
            <a:ln w="25400">
              <a:solidFill>
                <a:srgbClr val="9999FF"/>
              </a:solidFill>
              <a:prstDash val="solid"/>
            </a:ln>
          </c:spPr>
          <c:marker>
            <c:symbol val="none"/>
          </c:marker>
          <c:val>
            <c:numRef>
              <c:f>Monthly_Imports!$B$49:$M$49</c:f>
              <c:numCache>
                <c:formatCode>#,##0</c:formatCode>
                <c:ptCount val="12"/>
                <c:pt idx="0">
                  <c:v>117802</c:v>
                </c:pt>
                <c:pt idx="1">
                  <c:v>139111</c:v>
                </c:pt>
                <c:pt idx="2">
                  <c:v>177944</c:v>
                </c:pt>
                <c:pt idx="3">
                  <c:v>212249</c:v>
                </c:pt>
                <c:pt idx="4">
                  <c:v>197796</c:v>
                </c:pt>
                <c:pt idx="5">
                  <c:v>77928</c:v>
                </c:pt>
                <c:pt idx="6">
                  <c:v>50645</c:v>
                </c:pt>
                <c:pt idx="7">
                  <c:v>76689</c:v>
                </c:pt>
                <c:pt idx="8">
                  <c:v>44869</c:v>
                </c:pt>
                <c:pt idx="9">
                  <c:v>36233</c:v>
                </c:pt>
                <c:pt idx="10">
                  <c:v>76286</c:v>
                </c:pt>
                <c:pt idx="11">
                  <c:v>74524.7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95B-4F3B-AC13-95E1A77EC8B6}"/>
            </c:ext>
          </c:extLst>
        </c:ser>
        <c:ser>
          <c:idx val="7"/>
          <c:order val="7"/>
          <c:tx>
            <c:v>2016/17</c:v>
          </c:tx>
          <c:spPr>
            <a:ln w="25400">
              <a:solidFill>
                <a:srgbClr val="FFCC99"/>
              </a:solidFill>
              <a:prstDash val="solid"/>
            </a:ln>
          </c:spPr>
          <c:marker>
            <c:symbol val="none"/>
          </c:marker>
          <c:val>
            <c:numRef>
              <c:f>Monthly_Imports!$B$55:$M$55</c:f>
              <c:numCache>
                <c:formatCode>#,##0</c:formatCode>
                <c:ptCount val="12"/>
                <c:pt idx="0">
                  <c:v>79335</c:v>
                </c:pt>
                <c:pt idx="1">
                  <c:v>141621</c:v>
                </c:pt>
                <c:pt idx="2">
                  <c:v>126834</c:v>
                </c:pt>
                <c:pt idx="3">
                  <c:v>167809</c:v>
                </c:pt>
                <c:pt idx="4">
                  <c:v>191877</c:v>
                </c:pt>
                <c:pt idx="5">
                  <c:v>95686</c:v>
                </c:pt>
                <c:pt idx="6">
                  <c:v>85588</c:v>
                </c:pt>
                <c:pt idx="7">
                  <c:v>70704</c:v>
                </c:pt>
                <c:pt idx="8">
                  <c:v>56333.9</c:v>
                </c:pt>
                <c:pt idx="9">
                  <c:v>48226</c:v>
                </c:pt>
                <c:pt idx="10">
                  <c:v>71456</c:v>
                </c:pt>
                <c:pt idx="11">
                  <c:v>42314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95B-4F3B-AC13-95E1A77EC8B6}"/>
            </c:ext>
          </c:extLst>
        </c:ser>
        <c:ser>
          <c:idx val="8"/>
          <c:order val="8"/>
          <c:tx>
            <c:v>2017/18</c:v>
          </c:tx>
          <c:spPr>
            <a:ln w="25400">
              <a:solidFill>
                <a:srgbClr val="C8E1C8"/>
              </a:solidFill>
              <a:prstDash val="solid"/>
            </a:ln>
          </c:spPr>
          <c:marker>
            <c:symbol val="none"/>
          </c:marker>
          <c:val>
            <c:numRef>
              <c:f>Monthly_Imports!$B$61:$M$61</c:f>
              <c:numCache>
                <c:formatCode>#,##0</c:formatCode>
                <c:ptCount val="12"/>
                <c:pt idx="0">
                  <c:v>85216</c:v>
                </c:pt>
                <c:pt idx="1">
                  <c:v>123421</c:v>
                </c:pt>
                <c:pt idx="2">
                  <c:v>142546</c:v>
                </c:pt>
                <c:pt idx="3">
                  <c:v>194481</c:v>
                </c:pt>
                <c:pt idx="4">
                  <c:v>205285</c:v>
                </c:pt>
                <c:pt idx="5">
                  <c:v>101626</c:v>
                </c:pt>
                <c:pt idx="6">
                  <c:v>97440</c:v>
                </c:pt>
                <c:pt idx="7">
                  <c:v>62279</c:v>
                </c:pt>
                <c:pt idx="8">
                  <c:v>73184</c:v>
                </c:pt>
                <c:pt idx="9">
                  <c:v>47375</c:v>
                </c:pt>
                <c:pt idx="10">
                  <c:v>72258</c:v>
                </c:pt>
                <c:pt idx="11">
                  <c:v>73602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395B-4F3B-AC13-95E1A77EC8B6}"/>
            </c:ext>
          </c:extLst>
        </c:ser>
        <c:ser>
          <c:idx val="9"/>
          <c:order val="9"/>
          <c:tx>
            <c:v>2019/20</c:v>
          </c:tx>
          <c:marker>
            <c:symbol val="none"/>
          </c:marker>
          <c:val>
            <c:numRef>
              <c:f>Monthly_Imports!$B$73:$G$73</c:f>
              <c:numCache>
                <c:formatCode>#,##0</c:formatCode>
                <c:ptCount val="6"/>
                <c:pt idx="0">
                  <c:v>94350</c:v>
                </c:pt>
                <c:pt idx="1">
                  <c:v>114484</c:v>
                </c:pt>
                <c:pt idx="2">
                  <c:v>139288</c:v>
                </c:pt>
                <c:pt idx="3">
                  <c:v>202757</c:v>
                </c:pt>
                <c:pt idx="4">
                  <c:v>154507</c:v>
                </c:pt>
                <c:pt idx="5">
                  <c:v>92587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395B-4F3B-AC13-95E1A77EC8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6264783"/>
        <c:axId val="1"/>
      </c:lineChart>
      <c:catAx>
        <c:axId val="466264783"/>
        <c:scaling>
          <c:orientation val="minMax"/>
        </c:scaling>
        <c:delete val="1"/>
        <c:axPos val="b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#,##0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466264783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3944970153067144"/>
          <c:y val="0.36666647784134898"/>
          <c:w val="6.411093303602533E-2"/>
          <c:h val="0.2894862063105421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1200" verticalDpi="12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411764705882348E-2"/>
          <c:y val="4.6613538227076451E-2"/>
          <c:w val="0.84411764705882297"/>
          <c:h val="0.85910652920962205"/>
        </c:manualLayout>
      </c:layout>
      <c:barChart>
        <c:barDir val="col"/>
        <c:grouping val="clustered"/>
        <c:varyColors val="0"/>
        <c:ser>
          <c:idx val="0"/>
          <c:order val="0"/>
          <c:tx>
            <c:v>2000</c:v>
          </c:tx>
          <c:spPr>
            <a:solidFill>
              <a:srgbClr val="40699C"/>
            </a:solidFill>
            <a:ln w="25400">
              <a:noFill/>
            </a:ln>
          </c:spPr>
          <c:invertIfNegative val="0"/>
          <c:cat>
            <c:strRef>
              <c:f>Quarterly_Imports_By_Year!$A$13:$D$13</c:f>
              <c:strCache>
                <c:ptCount val="4"/>
                <c:pt idx="0">
                  <c:v>First Qtr</c:v>
                </c:pt>
                <c:pt idx="1">
                  <c:v>Second Qtr</c:v>
                </c:pt>
                <c:pt idx="2">
                  <c:v>Third Qtr</c:v>
                </c:pt>
                <c:pt idx="3">
                  <c:v>Fourth Qtr</c:v>
                </c:pt>
              </c:strCache>
            </c:strRef>
          </c:cat>
          <c:val>
            <c:numRef>
              <c:f>Quarterly_Adjusted_Figures!$K$12:$N$12</c:f>
              <c:numCache>
                <c:formatCode>#,##0</c:formatCode>
                <c:ptCount val="4"/>
                <c:pt idx="0">
                  <c:v>96110.1</c:v>
                </c:pt>
                <c:pt idx="1">
                  <c:v>99197.3</c:v>
                </c:pt>
                <c:pt idx="2">
                  <c:v>283691.7</c:v>
                </c:pt>
                <c:pt idx="3">
                  <c:v>447925.2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B7-47CC-B1F3-141044ED15D8}"/>
            </c:ext>
          </c:extLst>
        </c:ser>
        <c:ser>
          <c:idx val="1"/>
          <c:order val="1"/>
          <c:tx>
            <c:v>2001</c:v>
          </c:tx>
          <c:spPr>
            <a:solidFill>
              <a:srgbClr val="9E413E"/>
            </a:solidFill>
            <a:ln w="25400">
              <a:noFill/>
            </a:ln>
          </c:spPr>
          <c:invertIfNegative val="0"/>
          <c:val>
            <c:numRef>
              <c:f>Quarterly_Adjusted_Figures!$O$12:$R$12</c:f>
              <c:numCache>
                <c:formatCode>#,##0</c:formatCode>
                <c:ptCount val="4"/>
                <c:pt idx="0">
                  <c:v>106283.8</c:v>
                </c:pt>
                <c:pt idx="1">
                  <c:v>54719.199999999997</c:v>
                </c:pt>
                <c:pt idx="2">
                  <c:v>299968.5</c:v>
                </c:pt>
                <c:pt idx="3">
                  <c:v>313966.3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B7-47CC-B1F3-141044ED15D8}"/>
            </c:ext>
          </c:extLst>
        </c:ser>
        <c:ser>
          <c:idx val="2"/>
          <c:order val="2"/>
          <c:tx>
            <c:v>2002</c:v>
          </c:tx>
          <c:spPr>
            <a:solidFill>
              <a:srgbClr val="7F9A48"/>
            </a:solidFill>
            <a:ln w="25400">
              <a:noFill/>
            </a:ln>
          </c:spPr>
          <c:invertIfNegative val="0"/>
          <c:val>
            <c:numRef>
              <c:f>Quarterly_Adjusted_Figures!$S$12:$V$12</c:f>
              <c:numCache>
                <c:formatCode>#,##0</c:formatCode>
                <c:ptCount val="4"/>
                <c:pt idx="0">
                  <c:v>80549</c:v>
                </c:pt>
                <c:pt idx="1">
                  <c:v>153854.5</c:v>
                </c:pt>
                <c:pt idx="2">
                  <c:v>431309</c:v>
                </c:pt>
                <c:pt idx="3">
                  <c:v>444023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5B7-47CC-B1F3-141044ED15D8}"/>
            </c:ext>
          </c:extLst>
        </c:ser>
        <c:ser>
          <c:idx val="3"/>
          <c:order val="3"/>
          <c:tx>
            <c:v>2003</c:v>
          </c:tx>
          <c:spPr>
            <a:solidFill>
              <a:srgbClr val="695185"/>
            </a:solidFill>
            <a:ln w="25400">
              <a:noFill/>
            </a:ln>
          </c:spPr>
          <c:invertIfNegative val="0"/>
          <c:val>
            <c:numRef>
              <c:f>Quarterly_Adjusted_Figures!$W$12:$Z$12</c:f>
              <c:numCache>
                <c:formatCode>#,##0</c:formatCode>
                <c:ptCount val="4"/>
                <c:pt idx="0">
                  <c:v>116201.9</c:v>
                </c:pt>
                <c:pt idx="1">
                  <c:v>136740.4</c:v>
                </c:pt>
                <c:pt idx="2">
                  <c:v>385869.8</c:v>
                </c:pt>
                <c:pt idx="3">
                  <c:v>365032.3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5B7-47CC-B1F3-141044ED15D8}"/>
            </c:ext>
          </c:extLst>
        </c:ser>
        <c:ser>
          <c:idx val="4"/>
          <c:order val="4"/>
          <c:tx>
            <c:v>2004</c:v>
          </c:tx>
          <c:spPr>
            <a:solidFill>
              <a:srgbClr val="3C8DA3"/>
            </a:solidFill>
            <a:ln w="25400">
              <a:noFill/>
            </a:ln>
          </c:spPr>
          <c:invertIfNegative val="0"/>
          <c:val>
            <c:numRef>
              <c:f>Quarterly_Adjusted_Figures!$AA$12:$AD$12</c:f>
              <c:numCache>
                <c:formatCode>#,##0</c:formatCode>
                <c:ptCount val="4"/>
                <c:pt idx="0">
                  <c:v>109430</c:v>
                </c:pt>
                <c:pt idx="1">
                  <c:v>202177.7</c:v>
                </c:pt>
                <c:pt idx="2">
                  <c:v>423962</c:v>
                </c:pt>
                <c:pt idx="3">
                  <c:v>512421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5B7-47CC-B1F3-141044ED15D8}"/>
            </c:ext>
          </c:extLst>
        </c:ser>
        <c:ser>
          <c:idx val="5"/>
          <c:order val="5"/>
          <c:tx>
            <c:v>2005</c:v>
          </c:tx>
          <c:spPr>
            <a:solidFill>
              <a:srgbClr val="CC7B38"/>
            </a:solidFill>
            <a:ln w="25400">
              <a:noFill/>
            </a:ln>
          </c:spPr>
          <c:invertIfNegative val="0"/>
          <c:val>
            <c:numRef>
              <c:f>Quarterly_Adjusted_Figures!$AE$12:$AH$12</c:f>
              <c:numCache>
                <c:formatCode>#,##0</c:formatCode>
                <c:ptCount val="4"/>
                <c:pt idx="0">
                  <c:v>100095</c:v>
                </c:pt>
                <c:pt idx="1">
                  <c:v>172261</c:v>
                </c:pt>
                <c:pt idx="2">
                  <c:v>440780</c:v>
                </c:pt>
                <c:pt idx="3">
                  <c:v>455465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5B7-47CC-B1F3-141044ED15D8}"/>
            </c:ext>
          </c:extLst>
        </c:ser>
        <c:ser>
          <c:idx val="6"/>
          <c:order val="6"/>
          <c:tx>
            <c:v>2006</c:v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val>
            <c:numRef>
              <c:f>Quarterly_Adjusted_Figures!$AI$12:$AL$12</c:f>
              <c:numCache>
                <c:formatCode>#,##0</c:formatCode>
                <c:ptCount val="4"/>
                <c:pt idx="0">
                  <c:v>151042</c:v>
                </c:pt>
                <c:pt idx="1">
                  <c:v>241529</c:v>
                </c:pt>
                <c:pt idx="2">
                  <c:v>380166</c:v>
                </c:pt>
                <c:pt idx="3">
                  <c:v>427116.81599999999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5B7-47CC-B1F3-141044ED15D8}"/>
            </c:ext>
          </c:extLst>
        </c:ser>
        <c:ser>
          <c:idx val="7"/>
          <c:order val="7"/>
          <c:tx>
            <c:v>2007</c:v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val>
            <c:numRef>
              <c:f>Quarterly_Adjusted_Figures!$AM$12:$AP$12</c:f>
              <c:numCache>
                <c:formatCode>#,##0</c:formatCode>
                <c:ptCount val="4"/>
                <c:pt idx="0">
                  <c:v>213918</c:v>
                </c:pt>
                <c:pt idx="1">
                  <c:v>270250</c:v>
                </c:pt>
                <c:pt idx="2">
                  <c:v>451424</c:v>
                </c:pt>
                <c:pt idx="3">
                  <c:v>492146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5B7-47CC-B1F3-141044ED15D8}"/>
            </c:ext>
          </c:extLst>
        </c:ser>
        <c:ser>
          <c:idx val="8"/>
          <c:order val="8"/>
          <c:tx>
            <c:v>2008</c:v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val>
            <c:numRef>
              <c:f>Quarterly_Adjusted_Figures!$AQ$12:$AT$12</c:f>
              <c:numCache>
                <c:formatCode>#,##0</c:formatCode>
                <c:ptCount val="4"/>
                <c:pt idx="0">
                  <c:v>186914</c:v>
                </c:pt>
                <c:pt idx="1">
                  <c:v>203898</c:v>
                </c:pt>
                <c:pt idx="2">
                  <c:v>383890</c:v>
                </c:pt>
                <c:pt idx="3">
                  <c:v>428946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5B7-47CC-B1F3-141044ED15D8}"/>
            </c:ext>
          </c:extLst>
        </c:ser>
        <c:ser>
          <c:idx val="9"/>
          <c:order val="9"/>
          <c:tx>
            <c:v>2009</c:v>
          </c:tx>
          <c:spPr>
            <a:solidFill>
              <a:srgbClr val="8064A2"/>
            </a:solidFill>
            <a:ln w="25400">
              <a:noFill/>
            </a:ln>
          </c:spPr>
          <c:invertIfNegative val="0"/>
          <c:val>
            <c:numRef>
              <c:f>Quarterly_Adjusted_Figures!$AU$12:$AX$12</c:f>
              <c:numCache>
                <c:formatCode>#,##0</c:formatCode>
                <c:ptCount val="4"/>
                <c:pt idx="0">
                  <c:v>141111</c:v>
                </c:pt>
                <c:pt idx="1">
                  <c:v>200398</c:v>
                </c:pt>
                <c:pt idx="2">
                  <c:v>365617</c:v>
                </c:pt>
                <c:pt idx="3">
                  <c:v>446996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5B7-47CC-B1F3-141044ED15D8}"/>
            </c:ext>
          </c:extLst>
        </c:ser>
        <c:ser>
          <c:idx val="10"/>
          <c:order val="10"/>
          <c:tx>
            <c:v>2010</c:v>
          </c:tx>
          <c:spPr>
            <a:solidFill>
              <a:srgbClr val="4BACC6"/>
            </a:solidFill>
            <a:ln w="25400">
              <a:noFill/>
            </a:ln>
          </c:spPr>
          <c:invertIfNegative val="0"/>
          <c:val>
            <c:numRef>
              <c:f>Quarterly_Adjusted_Figures!$AY$12:$BB$12</c:f>
              <c:numCache>
                <c:formatCode>#,##0</c:formatCode>
                <c:ptCount val="4"/>
                <c:pt idx="0">
                  <c:v>179539</c:v>
                </c:pt>
                <c:pt idx="1">
                  <c:v>252246</c:v>
                </c:pt>
                <c:pt idx="2">
                  <c:v>451713</c:v>
                </c:pt>
                <c:pt idx="3">
                  <c:v>429948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5B7-47CC-B1F3-141044ED15D8}"/>
            </c:ext>
          </c:extLst>
        </c:ser>
        <c:ser>
          <c:idx val="11"/>
          <c:order val="11"/>
          <c:tx>
            <c:v>2011</c:v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val>
            <c:numRef>
              <c:f>'Calendar Yr import'!$C$53:$F$53</c:f>
              <c:numCache>
                <c:formatCode>#,##0</c:formatCode>
                <c:ptCount val="4"/>
                <c:pt idx="0">
                  <c:v>179539</c:v>
                </c:pt>
                <c:pt idx="1">
                  <c:v>252246</c:v>
                </c:pt>
                <c:pt idx="2">
                  <c:v>451713</c:v>
                </c:pt>
                <c:pt idx="3">
                  <c:v>429948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15B7-47CC-B1F3-141044ED15D8}"/>
            </c:ext>
          </c:extLst>
        </c:ser>
        <c:ser>
          <c:idx val="12"/>
          <c:order val="12"/>
          <c:tx>
            <c:v>2012</c:v>
          </c:tx>
          <c:spPr>
            <a:solidFill>
              <a:srgbClr val="AABAD7"/>
            </a:solidFill>
            <a:ln w="25400">
              <a:noFill/>
            </a:ln>
          </c:spPr>
          <c:invertIfNegative val="0"/>
          <c:val>
            <c:numRef>
              <c:f>Quarterly_Adjusted_Figures!$BG$12:$BJ$12</c:f>
              <c:numCache>
                <c:formatCode>#,##0</c:formatCode>
                <c:ptCount val="4"/>
                <c:pt idx="0">
                  <c:v>171783</c:v>
                </c:pt>
                <c:pt idx="1">
                  <c:v>247838</c:v>
                </c:pt>
                <c:pt idx="2">
                  <c:v>430188</c:v>
                </c:pt>
                <c:pt idx="3">
                  <c:v>507784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15B7-47CC-B1F3-141044ED15D8}"/>
            </c:ext>
          </c:extLst>
        </c:ser>
        <c:ser>
          <c:idx val="13"/>
          <c:order val="13"/>
          <c:tx>
            <c:v>2013</c:v>
          </c:tx>
          <c:spPr>
            <a:solidFill>
              <a:srgbClr val="D9AAA9"/>
            </a:solidFill>
            <a:ln w="25400">
              <a:noFill/>
            </a:ln>
          </c:spPr>
          <c:invertIfNegative val="0"/>
          <c:val>
            <c:numRef>
              <c:f>Quarterly_Adjusted_Figures!$BK$12:$BN$12</c:f>
              <c:numCache>
                <c:formatCode>#,##0</c:formatCode>
                <c:ptCount val="4"/>
                <c:pt idx="0">
                  <c:v>187667</c:v>
                </c:pt>
                <c:pt idx="1">
                  <c:v>290774</c:v>
                </c:pt>
                <c:pt idx="2">
                  <c:v>408088</c:v>
                </c:pt>
                <c:pt idx="3">
                  <c:v>479335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15B7-47CC-B1F3-141044ED15D8}"/>
            </c:ext>
          </c:extLst>
        </c:ser>
        <c:ser>
          <c:idx val="14"/>
          <c:order val="14"/>
          <c:tx>
            <c:v>2014</c:v>
          </c:tx>
          <c:spPr>
            <a:solidFill>
              <a:srgbClr val="C6D6AC"/>
            </a:solidFill>
            <a:ln w="25400">
              <a:noFill/>
            </a:ln>
          </c:spPr>
          <c:invertIfNegative val="0"/>
          <c:val>
            <c:numRef>
              <c:f>Quarterly_Adjusted_Figures!$BO$12:$BR$12</c:f>
              <c:numCache>
                <c:formatCode>#,##0</c:formatCode>
                <c:ptCount val="4"/>
                <c:pt idx="0">
                  <c:v>180556.9</c:v>
                </c:pt>
                <c:pt idx="1">
                  <c:v>241029</c:v>
                </c:pt>
                <c:pt idx="2">
                  <c:v>422637</c:v>
                </c:pt>
                <c:pt idx="3">
                  <c:v>541443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15B7-47CC-B1F3-141044ED15D8}"/>
            </c:ext>
          </c:extLst>
        </c:ser>
        <c:ser>
          <c:idx val="15"/>
          <c:order val="15"/>
          <c:tx>
            <c:v>2015</c:v>
          </c:tx>
          <c:spPr>
            <a:solidFill>
              <a:srgbClr val="BAB0C9"/>
            </a:solidFill>
            <a:ln w="25400">
              <a:noFill/>
            </a:ln>
          </c:spPr>
          <c:invertIfNegative val="0"/>
          <c:val>
            <c:numRef>
              <c:f>Quarterly_Adjusted_Figures!$BS$12:$BV$12</c:f>
              <c:numCache>
                <c:formatCode>#,##0</c:formatCode>
                <c:ptCount val="4"/>
                <c:pt idx="0">
                  <c:v>176479</c:v>
                </c:pt>
                <c:pt idx="1">
                  <c:v>279266</c:v>
                </c:pt>
                <c:pt idx="2">
                  <c:v>434857</c:v>
                </c:pt>
                <c:pt idx="3">
                  <c:v>487973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15B7-47CC-B1F3-141044ED15D8}"/>
            </c:ext>
          </c:extLst>
        </c:ser>
        <c:ser>
          <c:idx val="16"/>
          <c:order val="16"/>
          <c:tx>
            <c:v>2016</c:v>
          </c:tx>
          <c:spPr>
            <a:solidFill>
              <a:srgbClr val="A9CEDC"/>
            </a:solidFill>
            <a:ln w="25400">
              <a:noFill/>
            </a:ln>
          </c:spPr>
          <c:invertIfNegative val="0"/>
          <c:val>
            <c:numRef>
              <c:f>Quarterly_Adjusted_Figures!$BW$12:$BZ$12</c:f>
              <c:numCache>
                <c:formatCode>#,##0</c:formatCode>
                <c:ptCount val="4"/>
                <c:pt idx="0">
                  <c:v>172203</c:v>
                </c:pt>
                <c:pt idx="1">
                  <c:v>187043.7</c:v>
                </c:pt>
                <c:pt idx="2">
                  <c:v>347790</c:v>
                </c:pt>
                <c:pt idx="3">
                  <c:v>455372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15B7-47CC-B1F3-141044ED15D8}"/>
            </c:ext>
          </c:extLst>
        </c:ser>
        <c:ser>
          <c:idx val="17"/>
          <c:order val="17"/>
          <c:tx>
            <c:v>2017</c:v>
          </c:tx>
          <c:spPr>
            <a:solidFill>
              <a:srgbClr val="F8AA79"/>
            </a:solidFill>
            <a:ln w="25400">
              <a:noFill/>
            </a:ln>
          </c:spPr>
          <c:invertIfNegative val="0"/>
          <c:val>
            <c:numRef>
              <c:f>'Calendar Yr import'!$C$60:$F$60</c:f>
              <c:numCache>
                <c:formatCode>#,##0</c:formatCode>
                <c:ptCount val="4"/>
                <c:pt idx="0">
                  <c:v>212625.9</c:v>
                </c:pt>
                <c:pt idx="1">
                  <c:v>161996</c:v>
                </c:pt>
                <c:pt idx="2">
                  <c:v>351183</c:v>
                </c:pt>
                <c:pt idx="3">
                  <c:v>501392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15B7-47CC-B1F3-141044ED15D8}"/>
            </c:ext>
          </c:extLst>
        </c:ser>
        <c:ser>
          <c:idx val="18"/>
          <c:order val="18"/>
          <c:tx>
            <c:v>2018</c:v>
          </c:tx>
          <c:invertIfNegative val="0"/>
          <c:val>
            <c:numRef>
              <c:f>'Calendar Yr import'!$C$61:$F$61</c:f>
              <c:numCache>
                <c:formatCode>#,##0</c:formatCode>
                <c:ptCount val="4"/>
                <c:pt idx="0">
                  <c:v>232903</c:v>
                </c:pt>
                <c:pt idx="1">
                  <c:v>193235</c:v>
                </c:pt>
                <c:pt idx="2">
                  <c:v>342710</c:v>
                </c:pt>
                <c:pt idx="3">
                  <c:v>407980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15B7-47CC-B1F3-141044ED15D8}"/>
            </c:ext>
          </c:extLst>
        </c:ser>
        <c:ser>
          <c:idx val="20"/>
          <c:order val="19"/>
          <c:tx>
            <c:v>2019</c:v>
          </c:tx>
          <c:invertIfNegative val="0"/>
          <c:val>
            <c:numRef>
              <c:f>Quarterly_Adjusted_Figures!$CI$12:$CL$12</c:f>
              <c:numCache>
                <c:formatCode>#,##0</c:formatCode>
                <c:ptCount val="4"/>
                <c:pt idx="0">
                  <c:v>190368</c:v>
                </c:pt>
                <c:pt idx="1">
                  <c:v>191167</c:v>
                </c:pt>
                <c:pt idx="2">
                  <c:v>348122</c:v>
                </c:pt>
                <c:pt idx="3">
                  <c:v>449851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15B7-47CC-B1F3-141044ED15D8}"/>
            </c:ext>
          </c:extLst>
        </c:ser>
        <c:ser>
          <c:idx val="21"/>
          <c:order val="20"/>
          <c:tx>
            <c:v>2020</c:v>
          </c:tx>
          <c:invertIfNegative val="0"/>
          <c:val>
            <c:numRef>
              <c:f>'Calendar Yr import'!$C$63:$F$63</c:f>
              <c:numCache>
                <c:formatCode>General</c:formatCode>
                <c:ptCount val="4"/>
                <c:pt idx="0" formatCode="#,##0">
                  <c:v>153426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15B7-47CC-B1F3-141044ED15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6283583"/>
        <c:axId val="1"/>
      </c:barChart>
      <c:catAx>
        <c:axId val="46628358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66283583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92205928747684596"/>
          <c:y val="5.8419338720515517E-2"/>
          <c:w val="5.0264234427055743E-2"/>
          <c:h val="0.8965879265091863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AU"/>
              <a:t>Adult V. Child Bicycle Imports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5366972477064203E-2"/>
          <c:y val="0.156626506024096"/>
          <c:w val="0.92201834862385301"/>
          <c:h val="0.70783132530120496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  <a:prstDash val="solid"/>
            </a:ln>
          </c:spPr>
          <c:marker>
            <c:spPr>
              <a:solidFill>
                <a:srgbClr val="4F81BD"/>
              </a:solidFill>
              <a:ln>
                <a:solidFill>
                  <a:srgbClr val="666699"/>
                </a:solidFill>
                <a:prstDash val="solid"/>
              </a:ln>
            </c:spPr>
          </c:marker>
          <c:cat>
            <c:numRef>
              <c:f>Market_Breakdown!$B$10:$B$31</c:f>
              <c:numCache>
                <c:formatCode>General</c:formatCode>
                <c:ptCount val="2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</c:numCache>
            </c:numRef>
          </c:cat>
          <c:val>
            <c:numRef>
              <c:f>Market_Breakdown!$C$10:$C$31</c:f>
              <c:numCache>
                <c:formatCode>#,##0</c:formatCode>
                <c:ptCount val="22"/>
                <c:pt idx="0">
                  <c:v>289256.8</c:v>
                </c:pt>
                <c:pt idx="1">
                  <c:v>404761</c:v>
                </c:pt>
                <c:pt idx="2">
                  <c:v>430079.30000000005</c:v>
                </c:pt>
                <c:pt idx="3">
                  <c:v>271910.80000000005</c:v>
                </c:pt>
                <c:pt idx="4">
                  <c:v>259857.5</c:v>
                </c:pt>
                <c:pt idx="5">
                  <c:v>423011.39999999991</c:v>
                </c:pt>
                <c:pt idx="6">
                  <c:v>438829.69999999995</c:v>
                </c:pt>
                <c:pt idx="7">
                  <c:v>317862</c:v>
                </c:pt>
                <c:pt idx="8">
                  <c:v>436974.81600000011</c:v>
                </c:pt>
                <c:pt idx="9">
                  <c:v>513375</c:v>
                </c:pt>
                <c:pt idx="10">
                  <c:v>456541</c:v>
                </c:pt>
                <c:pt idx="11">
                  <c:v>425595</c:v>
                </c:pt>
                <c:pt idx="12">
                  <c:v>467325</c:v>
                </c:pt>
                <c:pt idx="13">
                  <c:v>361749</c:v>
                </c:pt>
                <c:pt idx="14">
                  <c:v>445050</c:v>
                </c:pt>
                <c:pt idx="15">
                  <c:v>450352</c:v>
                </c:pt>
                <c:pt idx="16">
                  <c:v>441364.9</c:v>
                </c:pt>
                <c:pt idx="17">
                  <c:v>500389</c:v>
                </c:pt>
                <c:pt idx="18">
                  <c:v>398025.7</c:v>
                </c:pt>
                <c:pt idx="19">
                  <c:v>421501.9</c:v>
                </c:pt>
                <c:pt idx="20">
                  <c:v>406427</c:v>
                </c:pt>
                <c:pt idx="21">
                  <c:v>423573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10-4D6B-BC93-3E368AE36782}"/>
            </c:ext>
          </c:extLst>
        </c:ser>
        <c:ser>
          <c:idx val="1"/>
          <c:order val="1"/>
          <c:spPr>
            <a:ln w="25400">
              <a:solidFill>
                <a:srgbClr val="993300"/>
              </a:solidFill>
              <a:prstDash val="solid"/>
            </a:ln>
          </c:spPr>
          <c:marker>
            <c:spPr>
              <a:solidFill>
                <a:srgbClr val="C0504D"/>
              </a:solidFill>
              <a:ln>
                <a:solidFill>
                  <a:srgbClr val="993300"/>
                </a:solidFill>
                <a:prstDash val="solid"/>
              </a:ln>
            </c:spPr>
          </c:marker>
          <c:cat>
            <c:numRef>
              <c:f>Market_Breakdown!$B$10:$B$31</c:f>
              <c:numCache>
                <c:formatCode>General</c:formatCode>
                <c:ptCount val="2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</c:numCache>
            </c:numRef>
          </c:cat>
          <c:val>
            <c:numRef>
              <c:f>Market_Breakdown!$D$10:$D$31</c:f>
              <c:numCache>
                <c:formatCode>#,##0</c:formatCode>
                <c:ptCount val="22"/>
                <c:pt idx="0">
                  <c:v>367374</c:v>
                </c:pt>
                <c:pt idx="1">
                  <c:v>416033</c:v>
                </c:pt>
                <c:pt idx="2">
                  <c:v>496845</c:v>
                </c:pt>
                <c:pt idx="3">
                  <c:v>503027</c:v>
                </c:pt>
                <c:pt idx="4">
                  <c:v>849878</c:v>
                </c:pt>
                <c:pt idx="5">
                  <c:v>580833</c:v>
                </c:pt>
                <c:pt idx="6">
                  <c:v>809161</c:v>
                </c:pt>
                <c:pt idx="7">
                  <c:v>850739</c:v>
                </c:pt>
                <c:pt idx="8">
                  <c:v>762879</c:v>
                </c:pt>
                <c:pt idx="9">
                  <c:v>914363</c:v>
                </c:pt>
                <c:pt idx="10">
                  <c:v>747107</c:v>
                </c:pt>
                <c:pt idx="11">
                  <c:v>728527</c:v>
                </c:pt>
                <c:pt idx="12">
                  <c:v>846121</c:v>
                </c:pt>
                <c:pt idx="13">
                  <c:v>721767</c:v>
                </c:pt>
                <c:pt idx="14">
                  <c:v>912543</c:v>
                </c:pt>
                <c:pt idx="15">
                  <c:v>915512</c:v>
                </c:pt>
                <c:pt idx="16">
                  <c:v>944301</c:v>
                </c:pt>
                <c:pt idx="17">
                  <c:v>878186</c:v>
                </c:pt>
                <c:pt idx="18">
                  <c:v>764383</c:v>
                </c:pt>
                <c:pt idx="19">
                  <c:v>805695</c:v>
                </c:pt>
                <c:pt idx="20">
                  <c:v>770401</c:v>
                </c:pt>
                <c:pt idx="21">
                  <c:v>755935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10-4D6B-BC93-3E368AE36782}"/>
            </c:ext>
          </c:extLst>
        </c:ser>
        <c:ser>
          <c:idx val="2"/>
          <c:order val="2"/>
          <c:spPr>
            <a:ln w="25400">
              <a:solidFill>
                <a:srgbClr val="99CC00"/>
              </a:solidFill>
              <a:prstDash val="solid"/>
            </a:ln>
          </c:spPr>
          <c:marker>
            <c:spPr>
              <a:solidFill>
                <a:srgbClr val="9BBB59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cat>
            <c:numRef>
              <c:f>Market_Breakdown!$B$10:$B$31</c:f>
              <c:numCache>
                <c:formatCode>General</c:formatCode>
                <c:ptCount val="2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</c:numCache>
            </c:numRef>
          </c:cat>
          <c:val>
            <c:numRef>
              <c:f>Market_Breakdown!$E$10:$E$31</c:f>
              <c:numCache>
                <c:formatCode>#,##0</c:formatCode>
                <c:ptCount val="22"/>
                <c:pt idx="0">
                  <c:v>656630.80000000005</c:v>
                </c:pt>
                <c:pt idx="1">
                  <c:v>820794</c:v>
                </c:pt>
                <c:pt idx="2">
                  <c:v>926924.3</c:v>
                </c:pt>
                <c:pt idx="3">
                  <c:v>774937.8</c:v>
                </c:pt>
                <c:pt idx="4">
                  <c:v>1109735.5</c:v>
                </c:pt>
                <c:pt idx="5">
                  <c:v>1003844.3999999999</c:v>
                </c:pt>
                <c:pt idx="6">
                  <c:v>1247990.7</c:v>
                </c:pt>
                <c:pt idx="7">
                  <c:v>1168601</c:v>
                </c:pt>
                <c:pt idx="8">
                  <c:v>1199853.8160000001</c:v>
                </c:pt>
                <c:pt idx="9">
                  <c:v>1427738</c:v>
                </c:pt>
                <c:pt idx="10">
                  <c:v>1203648</c:v>
                </c:pt>
                <c:pt idx="11">
                  <c:v>1154122</c:v>
                </c:pt>
                <c:pt idx="12">
                  <c:v>1313446</c:v>
                </c:pt>
                <c:pt idx="13">
                  <c:v>1083516</c:v>
                </c:pt>
                <c:pt idx="14">
                  <c:v>1357593</c:v>
                </c:pt>
                <c:pt idx="15">
                  <c:v>1365864</c:v>
                </c:pt>
                <c:pt idx="16">
                  <c:v>1385665.9</c:v>
                </c:pt>
                <c:pt idx="17">
                  <c:v>1378575</c:v>
                </c:pt>
                <c:pt idx="18">
                  <c:v>1162408.7</c:v>
                </c:pt>
                <c:pt idx="19">
                  <c:v>1227196.8999999999</c:v>
                </c:pt>
                <c:pt idx="20">
                  <c:v>1176828</c:v>
                </c:pt>
                <c:pt idx="21">
                  <c:v>1179508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110-4D6B-BC93-3E368AE367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6274783"/>
        <c:axId val="1"/>
      </c:lineChart>
      <c:catAx>
        <c:axId val="4662747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66274783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36238530596249141"/>
          <c:y val="0.93072299033486949"/>
          <c:w val="6.2802778336401466E-2"/>
          <c:h val="6.927700966513050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AU"/>
              <a:t>Total Cumulative Annual Monthly Imports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1661933962024896E-2"/>
          <c:y val="0.18461566198266499"/>
          <c:w val="0.82091733614456597"/>
          <c:h val="0.726154937131816"/>
        </c:manualLayout>
      </c:layout>
      <c:lineChart>
        <c:grouping val="standard"/>
        <c:varyColors val="0"/>
        <c:ser>
          <c:idx val="1"/>
          <c:order val="0"/>
          <c:tx>
            <c:strRef>
              <c:f>'Cumulative monthly imports'!$C$11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00"/>
              </a:solidFill>
              <a:prstDash val="solid"/>
            </a:ln>
          </c:spPr>
          <c:marker>
            <c:symbol val="none"/>
          </c:marker>
          <c:val>
            <c:numRef>
              <c:f>'Cumulative monthly imports'!$C$12:$C$23</c:f>
              <c:numCache>
                <c:formatCode>#,##0</c:formatCode>
                <c:ptCount val="12"/>
                <c:pt idx="0">
                  <c:v>52599</c:v>
                </c:pt>
                <c:pt idx="1">
                  <c:v>123595</c:v>
                </c:pt>
                <c:pt idx="2">
                  <c:v>179539</c:v>
                </c:pt>
                <c:pt idx="3">
                  <c:v>223934</c:v>
                </c:pt>
                <c:pt idx="4">
                  <c:v>337997</c:v>
                </c:pt>
                <c:pt idx="5">
                  <c:v>431785</c:v>
                </c:pt>
                <c:pt idx="6">
                  <c:v>551260</c:v>
                </c:pt>
                <c:pt idx="7">
                  <c:v>702808</c:v>
                </c:pt>
                <c:pt idx="8">
                  <c:v>883498</c:v>
                </c:pt>
                <c:pt idx="9">
                  <c:v>1048780</c:v>
                </c:pt>
                <c:pt idx="10">
                  <c:v>1226674</c:v>
                </c:pt>
                <c:pt idx="11">
                  <c:v>1313446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22-408D-96D5-71ACCD9E7359}"/>
            </c:ext>
          </c:extLst>
        </c:ser>
        <c:ser>
          <c:idx val="0"/>
          <c:order val="1"/>
          <c:tx>
            <c:strRef>
              <c:f>'Cumulative monthly imports'!$D$11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val>
            <c:numRef>
              <c:f>'Cumulative monthly imports'!$D$12:$D$23</c:f>
              <c:numCache>
                <c:formatCode>#,##0</c:formatCode>
                <c:ptCount val="12"/>
                <c:pt idx="0">
                  <c:v>49786</c:v>
                </c:pt>
                <c:pt idx="1">
                  <c:v>104135</c:v>
                </c:pt>
                <c:pt idx="2">
                  <c:v>154601</c:v>
                </c:pt>
                <c:pt idx="3">
                  <c:v>192665</c:v>
                </c:pt>
                <c:pt idx="4">
                  <c:v>254719</c:v>
                </c:pt>
                <c:pt idx="5">
                  <c:v>336425</c:v>
                </c:pt>
                <c:pt idx="6">
                  <c:v>397867</c:v>
                </c:pt>
                <c:pt idx="7">
                  <c:v>528655</c:v>
                </c:pt>
                <c:pt idx="8">
                  <c:v>696109</c:v>
                </c:pt>
                <c:pt idx="9">
                  <c:v>831694</c:v>
                </c:pt>
                <c:pt idx="10">
                  <c:v>988189</c:v>
                </c:pt>
                <c:pt idx="11">
                  <c:v>1083516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C22-408D-96D5-71ACCD9E7359}"/>
            </c:ext>
          </c:extLst>
        </c:ser>
        <c:ser>
          <c:idx val="2"/>
          <c:order val="2"/>
          <c:tx>
            <c:strRef>
              <c:f>'Cumulative monthly imports'!$E$11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none"/>
          </c:marker>
          <c:val>
            <c:numRef>
              <c:f>'Cumulative monthly imports'!$E$12:$E$23</c:f>
              <c:numCache>
                <c:formatCode>#,##0</c:formatCode>
                <c:ptCount val="12"/>
                <c:pt idx="0">
                  <c:v>63233</c:v>
                </c:pt>
                <c:pt idx="1">
                  <c:v>112391</c:v>
                </c:pt>
                <c:pt idx="2">
                  <c:v>171783</c:v>
                </c:pt>
                <c:pt idx="3">
                  <c:v>225966</c:v>
                </c:pt>
                <c:pt idx="4">
                  <c:v>333167</c:v>
                </c:pt>
                <c:pt idx="5">
                  <c:v>419621</c:v>
                </c:pt>
                <c:pt idx="6">
                  <c:v>542743</c:v>
                </c:pt>
                <c:pt idx="7">
                  <c:v>677346</c:v>
                </c:pt>
                <c:pt idx="8">
                  <c:v>849809</c:v>
                </c:pt>
                <c:pt idx="9">
                  <c:v>1040375</c:v>
                </c:pt>
                <c:pt idx="10">
                  <c:v>1228159</c:v>
                </c:pt>
                <c:pt idx="11">
                  <c:v>1357593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C22-408D-96D5-71ACCD9E7359}"/>
            </c:ext>
          </c:extLst>
        </c:ser>
        <c:ser>
          <c:idx val="3"/>
          <c:order val="3"/>
          <c:tx>
            <c:strRef>
              <c:f>'Cumulative monthly imports'!$F$11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val>
            <c:numRef>
              <c:f>'Cumulative monthly imports'!$F$12:$F$23</c:f>
              <c:numCache>
                <c:formatCode>#,##0</c:formatCode>
                <c:ptCount val="12"/>
                <c:pt idx="0">
                  <c:v>80018</c:v>
                </c:pt>
                <c:pt idx="1">
                  <c:v>142900</c:v>
                </c:pt>
                <c:pt idx="2">
                  <c:v>187667</c:v>
                </c:pt>
                <c:pt idx="3">
                  <c:v>242845</c:v>
                </c:pt>
                <c:pt idx="4">
                  <c:v>391351</c:v>
                </c:pt>
                <c:pt idx="5">
                  <c:v>478441</c:v>
                </c:pt>
                <c:pt idx="6">
                  <c:v>599876</c:v>
                </c:pt>
                <c:pt idx="7">
                  <c:v>726258</c:v>
                </c:pt>
                <c:pt idx="8">
                  <c:v>886529</c:v>
                </c:pt>
                <c:pt idx="9">
                  <c:v>1039380</c:v>
                </c:pt>
                <c:pt idx="10">
                  <c:v>1254782</c:v>
                </c:pt>
                <c:pt idx="11">
                  <c:v>1365864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C22-408D-96D5-71ACCD9E7359}"/>
            </c:ext>
          </c:extLst>
        </c:ser>
        <c:ser>
          <c:idx val="4"/>
          <c:order val="4"/>
          <c:tx>
            <c:strRef>
              <c:f>'Cumulative monthly imports'!$G$11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33CCCC"/>
              </a:solidFill>
              <a:prstDash val="solid"/>
            </a:ln>
          </c:spPr>
          <c:marker>
            <c:symbol val="none"/>
          </c:marker>
          <c:val>
            <c:numRef>
              <c:f>'Cumulative monthly imports'!$G$12:$G$23</c:f>
              <c:numCache>
                <c:formatCode>#,##0</c:formatCode>
                <c:ptCount val="12"/>
                <c:pt idx="0">
                  <c:v>78111.899999999994</c:v>
                </c:pt>
                <c:pt idx="1">
                  <c:v>133344.9</c:v>
                </c:pt>
                <c:pt idx="2">
                  <c:v>180556.9</c:v>
                </c:pt>
                <c:pt idx="3">
                  <c:v>229372.9</c:v>
                </c:pt>
                <c:pt idx="4">
                  <c:v>325666.90000000002</c:v>
                </c:pt>
                <c:pt idx="5">
                  <c:v>421585.9</c:v>
                </c:pt>
                <c:pt idx="6">
                  <c:v>538158.9</c:v>
                </c:pt>
                <c:pt idx="7">
                  <c:v>673344.9</c:v>
                </c:pt>
                <c:pt idx="8">
                  <c:v>844222.9</c:v>
                </c:pt>
                <c:pt idx="9">
                  <c:v>1074001.8999999999</c:v>
                </c:pt>
                <c:pt idx="10">
                  <c:v>1266808.8999999999</c:v>
                </c:pt>
                <c:pt idx="11">
                  <c:v>1385665.9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C22-408D-96D5-71ACCD9E7359}"/>
            </c:ext>
          </c:extLst>
        </c:ser>
        <c:ser>
          <c:idx val="5"/>
          <c:order val="5"/>
          <c:tx>
            <c:strRef>
              <c:f>'Cumulative monthly imports'!$H$11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FF6F00"/>
              </a:solidFill>
              <a:prstDash val="solid"/>
            </a:ln>
          </c:spPr>
          <c:marker>
            <c:symbol val="none"/>
          </c:marker>
          <c:val>
            <c:numRef>
              <c:f>'Cumulative monthly imports'!$H$12:$H$23</c:f>
              <c:numCache>
                <c:formatCode>#,##0</c:formatCode>
                <c:ptCount val="12"/>
                <c:pt idx="0">
                  <c:v>68886</c:v>
                </c:pt>
                <c:pt idx="1">
                  <c:v>135579</c:v>
                </c:pt>
                <c:pt idx="2">
                  <c:v>176479</c:v>
                </c:pt>
                <c:pt idx="3">
                  <c:v>252916</c:v>
                </c:pt>
                <c:pt idx="4">
                  <c:v>328573</c:v>
                </c:pt>
                <c:pt idx="5">
                  <c:v>455745</c:v>
                </c:pt>
                <c:pt idx="6">
                  <c:v>573547</c:v>
                </c:pt>
                <c:pt idx="7">
                  <c:v>712658</c:v>
                </c:pt>
                <c:pt idx="8">
                  <c:v>890602</c:v>
                </c:pt>
                <c:pt idx="9">
                  <c:v>1102851</c:v>
                </c:pt>
                <c:pt idx="10">
                  <c:v>1300647</c:v>
                </c:pt>
                <c:pt idx="11">
                  <c:v>1378575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C22-408D-96D5-71ACCD9E7359}"/>
            </c:ext>
          </c:extLst>
        </c:ser>
        <c:ser>
          <c:idx val="6"/>
          <c:order val="6"/>
          <c:tx>
            <c:strRef>
              <c:f>'Cumulative monthly imports'!$I$11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9999FF"/>
              </a:solidFill>
              <a:prstDash val="solid"/>
            </a:ln>
          </c:spPr>
          <c:marker>
            <c:symbol val="none"/>
          </c:marker>
          <c:val>
            <c:numRef>
              <c:f>'Cumulative monthly imports'!$I$12:$I$23</c:f>
              <c:numCache>
                <c:formatCode>#,##0</c:formatCode>
                <c:ptCount val="12"/>
                <c:pt idx="0">
                  <c:v>50645</c:v>
                </c:pt>
                <c:pt idx="1">
                  <c:v>127334</c:v>
                </c:pt>
                <c:pt idx="2">
                  <c:v>172203</c:v>
                </c:pt>
                <c:pt idx="3">
                  <c:v>208436</c:v>
                </c:pt>
                <c:pt idx="4">
                  <c:v>284722</c:v>
                </c:pt>
                <c:pt idx="5">
                  <c:v>359246.7</c:v>
                </c:pt>
                <c:pt idx="6">
                  <c:v>438581.7</c:v>
                </c:pt>
                <c:pt idx="7">
                  <c:v>580202.69999999995</c:v>
                </c:pt>
                <c:pt idx="8">
                  <c:v>707036.7</c:v>
                </c:pt>
                <c:pt idx="9">
                  <c:v>874845.7</c:v>
                </c:pt>
                <c:pt idx="10">
                  <c:v>1066722.7</c:v>
                </c:pt>
                <c:pt idx="11">
                  <c:v>1162408.7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C22-408D-96D5-71ACCD9E7359}"/>
            </c:ext>
          </c:extLst>
        </c:ser>
        <c:ser>
          <c:idx val="7"/>
          <c:order val="7"/>
          <c:tx>
            <c:strRef>
              <c:f>'Cumulative monthly imports'!$J$11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FFCC99"/>
              </a:solidFill>
              <a:prstDash val="solid"/>
            </a:ln>
          </c:spPr>
          <c:marker>
            <c:symbol val="none"/>
          </c:marker>
          <c:val>
            <c:numRef>
              <c:f>'Cumulative monthly imports'!$J$12:$J$23</c:f>
              <c:numCache>
                <c:formatCode>#,##0</c:formatCode>
                <c:ptCount val="12"/>
                <c:pt idx="0">
                  <c:v>85588</c:v>
                </c:pt>
                <c:pt idx="1">
                  <c:v>156292</c:v>
                </c:pt>
                <c:pt idx="2">
                  <c:v>212625.9</c:v>
                </c:pt>
                <c:pt idx="3">
                  <c:v>260851.9</c:v>
                </c:pt>
                <c:pt idx="4">
                  <c:v>332307.90000000002</c:v>
                </c:pt>
                <c:pt idx="5">
                  <c:v>374621.9</c:v>
                </c:pt>
                <c:pt idx="6">
                  <c:v>459837.9</c:v>
                </c:pt>
                <c:pt idx="7">
                  <c:v>583258.9</c:v>
                </c:pt>
                <c:pt idx="8">
                  <c:v>725804.9</c:v>
                </c:pt>
                <c:pt idx="9">
                  <c:v>920285.9</c:v>
                </c:pt>
                <c:pt idx="10">
                  <c:v>1125570.8999999999</c:v>
                </c:pt>
                <c:pt idx="11">
                  <c:v>1227196.8999999999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C22-408D-96D5-71ACCD9E7359}"/>
            </c:ext>
          </c:extLst>
        </c:ser>
        <c:ser>
          <c:idx val="8"/>
          <c:order val="8"/>
          <c:tx>
            <c:strRef>
              <c:f>'Cumulative monthly imports'!$K$11</c:f>
              <c:strCache>
                <c:ptCount val="1"/>
                <c:pt idx="0">
                  <c:v>2018</c:v>
                </c:pt>
              </c:strCache>
            </c:strRef>
          </c:tx>
          <c:marker>
            <c:symbol val="none"/>
          </c:marker>
          <c:val>
            <c:numRef>
              <c:f>'Cumulative monthly imports'!$K$12:$K$23</c:f>
              <c:numCache>
                <c:formatCode>#,##0</c:formatCode>
                <c:ptCount val="12"/>
                <c:pt idx="0">
                  <c:v>97440</c:v>
                </c:pt>
                <c:pt idx="1">
                  <c:v>159719</c:v>
                </c:pt>
                <c:pt idx="2">
                  <c:v>232903</c:v>
                </c:pt>
                <c:pt idx="3">
                  <c:v>280278</c:v>
                </c:pt>
                <c:pt idx="4">
                  <c:v>352536</c:v>
                </c:pt>
                <c:pt idx="5">
                  <c:v>426138</c:v>
                </c:pt>
                <c:pt idx="6">
                  <c:v>509241</c:v>
                </c:pt>
                <c:pt idx="7">
                  <c:v>635110</c:v>
                </c:pt>
                <c:pt idx="8">
                  <c:v>768848</c:v>
                </c:pt>
                <c:pt idx="9">
                  <c:v>947768</c:v>
                </c:pt>
                <c:pt idx="10">
                  <c:v>1094299</c:v>
                </c:pt>
                <c:pt idx="11">
                  <c:v>1176828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7C22-408D-96D5-71ACCD9E7359}"/>
            </c:ext>
          </c:extLst>
        </c:ser>
        <c:ser>
          <c:idx val="9"/>
          <c:order val="9"/>
          <c:tx>
            <c:strRef>
              <c:f>'Cumulative monthly imports'!$L$11</c:f>
              <c:strCache>
                <c:ptCount val="1"/>
                <c:pt idx="0">
                  <c:v>2019</c:v>
                </c:pt>
              </c:strCache>
            </c:strRef>
          </c:tx>
          <c:marker>
            <c:symbol val="none"/>
          </c:marker>
          <c:val>
            <c:numRef>
              <c:f>'Cumulative monthly imports'!$L$12:$L$23</c:f>
              <c:numCache>
                <c:formatCode>#,##0</c:formatCode>
                <c:ptCount val="12"/>
                <c:pt idx="0">
                  <c:v>76305</c:v>
                </c:pt>
                <c:pt idx="1">
                  <c:v>146489</c:v>
                </c:pt>
                <c:pt idx="2">
                  <c:v>190368</c:v>
                </c:pt>
                <c:pt idx="3">
                  <c:v>249380</c:v>
                </c:pt>
                <c:pt idx="4">
                  <c:v>313598</c:v>
                </c:pt>
                <c:pt idx="5">
                  <c:v>381535</c:v>
                </c:pt>
                <c:pt idx="6">
                  <c:v>475885</c:v>
                </c:pt>
                <c:pt idx="7">
                  <c:v>590369</c:v>
                </c:pt>
                <c:pt idx="8">
                  <c:v>729657</c:v>
                </c:pt>
                <c:pt idx="9">
                  <c:v>932414</c:v>
                </c:pt>
                <c:pt idx="10">
                  <c:v>1086921</c:v>
                </c:pt>
                <c:pt idx="11">
                  <c:v>1179508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7C22-408D-96D5-71ACCD9E7359}"/>
            </c:ext>
          </c:extLst>
        </c:ser>
        <c:ser>
          <c:idx val="10"/>
          <c:order val="10"/>
          <c:tx>
            <c:strRef>
              <c:f>'Cumulative monthly imports'!$M$11</c:f>
              <c:strCache>
                <c:ptCount val="1"/>
                <c:pt idx="0">
                  <c:v>2020</c:v>
                </c:pt>
              </c:strCache>
            </c:strRef>
          </c:tx>
          <c:marker>
            <c:symbol val="none"/>
          </c:marker>
          <c:val>
            <c:numRef>
              <c:f>'Cumulative monthly imports'!$M$12:$M$23</c:f>
              <c:numCache>
                <c:formatCode>#,##0</c:formatCode>
                <c:ptCount val="12"/>
                <c:pt idx="0">
                  <c:v>68494</c:v>
                </c:pt>
                <c:pt idx="1">
                  <c:v>113726</c:v>
                </c:pt>
                <c:pt idx="2">
                  <c:v>153426</c:v>
                </c:pt>
                <c:pt idx="3">
                  <c:v>191793</c:v>
                </c:pt>
                <c:pt idx="4">
                  <c:v>273460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7C22-408D-96D5-71ACCD9E73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6282783"/>
        <c:axId val="1"/>
      </c:lineChart>
      <c:catAx>
        <c:axId val="46628278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466282783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91833866920481089"/>
          <c:y val="0.6369239782527184"/>
          <c:w val="6.9778713558241168E-2"/>
          <c:h val="0.363076021747281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62331838564999"/>
          <c:y val="2.6353388518742801E-2"/>
          <c:w val="0.89013452914798197"/>
          <c:h val="0.80092592592592604"/>
        </c:manualLayout>
      </c:layout>
      <c:lineChart>
        <c:grouping val="standard"/>
        <c:varyColors val="0"/>
        <c:ser>
          <c:idx val="0"/>
          <c:order val="0"/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strRef>
              <c:f>'Ave annual import value'!$B$12:$B$24</c:f>
              <c:strCache>
                <c:ptCount val="13"/>
                <c:pt idx="0">
                  <c:v>2006/07</c:v>
                </c:pt>
                <c:pt idx="1">
                  <c:v>2007/08</c:v>
                </c:pt>
                <c:pt idx="2">
                  <c:v>2008/09</c:v>
                </c:pt>
                <c:pt idx="3">
                  <c:v>2009/10</c:v>
                </c:pt>
                <c:pt idx="4">
                  <c:v>2010/11</c:v>
                </c:pt>
                <c:pt idx="5">
                  <c:v>2011/12</c:v>
                </c:pt>
                <c:pt idx="6">
                  <c:v>2012/13</c:v>
                </c:pt>
                <c:pt idx="7">
                  <c:v>2013/14</c:v>
                </c:pt>
                <c:pt idx="8">
                  <c:v>2014/15</c:v>
                </c:pt>
                <c:pt idx="9">
                  <c:v>2015/16</c:v>
                </c:pt>
                <c:pt idx="10">
                  <c:v>2016/17</c:v>
                </c:pt>
                <c:pt idx="11">
                  <c:v>2017/18</c:v>
                </c:pt>
                <c:pt idx="12">
                  <c:v>2018/19</c:v>
                </c:pt>
              </c:strCache>
            </c:strRef>
          </c:cat>
          <c:val>
            <c:numRef>
              <c:f>'Ave annual import value'!$C$12:$C$24</c:f>
              <c:numCache>
                <c:formatCode>"$"#,##0.00</c:formatCode>
                <c:ptCount val="13"/>
                <c:pt idx="0">
                  <c:v>126.94252492363205</c:v>
                </c:pt>
                <c:pt idx="1">
                  <c:v>121.32686636525133</c:v>
                </c:pt>
                <c:pt idx="2">
                  <c:v>168.05995550552998</c:v>
                </c:pt>
                <c:pt idx="3">
                  <c:v>146.94523353094871</c:v>
                </c:pt>
                <c:pt idx="4">
                  <c:v>175.37036753346709</c:v>
                </c:pt>
                <c:pt idx="5">
                  <c:v>160.00796510987246</c:v>
                </c:pt>
                <c:pt idx="6">
                  <c:v>172.95715589282534</c:v>
                </c:pt>
                <c:pt idx="7">
                  <c:v>181.97439761561571</c:v>
                </c:pt>
                <c:pt idx="8">
                  <c:v>208.96023618591664</c:v>
                </c:pt>
                <c:pt idx="9">
                  <c:v>213.79917664071166</c:v>
                </c:pt>
                <c:pt idx="10">
                  <c:v>215.90318378269563</c:v>
                </c:pt>
                <c:pt idx="11">
                  <c:v>203.44208407822234</c:v>
                </c:pt>
                <c:pt idx="12">
                  <c:v>213.88674431584536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C43-4294-B822-BD91D94AE6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6272783"/>
        <c:axId val="1"/>
      </c:lineChart>
      <c:catAx>
        <c:axId val="4662727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6272783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AU"/>
              <a:t>Monthly Adults Bicycle Imports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6690607467949"/>
          <c:y val="0.283332756891364"/>
          <c:w val="0.69304536067083"/>
          <c:h val="0.62083207024725295"/>
        </c:manualLayout>
      </c:layout>
      <c:lineChart>
        <c:grouping val="standard"/>
        <c:varyColors val="0"/>
        <c:ser>
          <c:idx val="0"/>
          <c:order val="0"/>
          <c:tx>
            <c:v>2009-10</c:v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numRef>
              <c:f>Quarterly_Imports_By_Year!$A$11:$L$11</c:f>
              <c:numCache>
                <c:formatCode>General</c:formatCode>
                <c:ptCount val="12"/>
              </c:numCache>
            </c:numRef>
          </c:cat>
          <c:val>
            <c:numRef>
              <c:f>Monthly_Imports!$B$11:$M$11</c:f>
              <c:numCache>
                <c:formatCode>#,##0</c:formatCode>
                <c:ptCount val="12"/>
                <c:pt idx="0">
                  <c:v>71878</c:v>
                </c:pt>
                <c:pt idx="1">
                  <c:v>69130</c:v>
                </c:pt>
                <c:pt idx="2">
                  <c:v>90396</c:v>
                </c:pt>
                <c:pt idx="3" formatCode="General">
                  <c:v>124933</c:v>
                </c:pt>
                <c:pt idx="4" formatCode="#,##0.0">
                  <c:v>113391</c:v>
                </c:pt>
                <c:pt idx="5">
                  <c:v>49723</c:v>
                </c:pt>
                <c:pt idx="6">
                  <c:v>44322</c:v>
                </c:pt>
                <c:pt idx="7">
                  <c:v>46026</c:v>
                </c:pt>
                <c:pt idx="8">
                  <c:v>24543</c:v>
                </c:pt>
                <c:pt idx="9">
                  <c:v>28323</c:v>
                </c:pt>
                <c:pt idx="10">
                  <c:v>57562</c:v>
                </c:pt>
                <c:pt idx="11">
                  <c:v>55108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304-4EF0-ABAE-F94A5B03EBDB}"/>
            </c:ext>
          </c:extLst>
        </c:ser>
        <c:ser>
          <c:idx val="1"/>
          <c:order val="1"/>
          <c:tx>
            <c:v>2010-11</c:v>
          </c:tx>
          <c:spPr>
            <a:ln w="25400">
              <a:solidFill>
                <a:srgbClr val="993300"/>
              </a:solidFill>
              <a:prstDash val="solid"/>
            </a:ln>
          </c:spPr>
          <c:marker>
            <c:symbol val="none"/>
          </c:marker>
          <c:val>
            <c:numRef>
              <c:f>Monthly_Imports!$B$17:$M$17</c:f>
              <c:numCache>
                <c:formatCode>#,##0</c:formatCode>
                <c:ptCount val="12"/>
                <c:pt idx="0">
                  <c:v>76372</c:v>
                </c:pt>
                <c:pt idx="1">
                  <c:v>96118</c:v>
                </c:pt>
                <c:pt idx="2">
                  <c:v>127848</c:v>
                </c:pt>
                <c:pt idx="3">
                  <c:v>106096</c:v>
                </c:pt>
                <c:pt idx="4">
                  <c:v>116042</c:v>
                </c:pt>
                <c:pt idx="5">
                  <c:v>67761</c:v>
                </c:pt>
                <c:pt idx="6">
                  <c:v>35129</c:v>
                </c:pt>
                <c:pt idx="7">
                  <c:v>45121</c:v>
                </c:pt>
                <c:pt idx="8">
                  <c:v>33123</c:v>
                </c:pt>
                <c:pt idx="9">
                  <c:v>27611</c:v>
                </c:pt>
                <c:pt idx="10">
                  <c:v>26955</c:v>
                </c:pt>
                <c:pt idx="11">
                  <c:v>46323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304-4EF0-ABAE-F94A5B03EBDB}"/>
            </c:ext>
          </c:extLst>
        </c:ser>
        <c:ser>
          <c:idx val="2"/>
          <c:order val="2"/>
          <c:tx>
            <c:v>2011-12</c:v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none"/>
          </c:marker>
          <c:val>
            <c:numRef>
              <c:f>Monthly_Imports!$B$23:$M$23</c:f>
              <c:numCache>
                <c:formatCode>#,##0</c:formatCode>
                <c:ptCount val="12"/>
                <c:pt idx="0">
                  <c:v>46655</c:v>
                </c:pt>
                <c:pt idx="1">
                  <c:v>92721</c:v>
                </c:pt>
                <c:pt idx="2">
                  <c:v>105140</c:v>
                </c:pt>
                <c:pt idx="3">
                  <c:v>95050</c:v>
                </c:pt>
                <c:pt idx="4">
                  <c:v>104477</c:v>
                </c:pt>
                <c:pt idx="5">
                  <c:v>63462</c:v>
                </c:pt>
                <c:pt idx="6">
                  <c:v>46782</c:v>
                </c:pt>
                <c:pt idx="7">
                  <c:v>33663</c:v>
                </c:pt>
                <c:pt idx="8">
                  <c:v>32319</c:v>
                </c:pt>
                <c:pt idx="9">
                  <c:v>38536</c:v>
                </c:pt>
                <c:pt idx="10">
                  <c:v>41522</c:v>
                </c:pt>
                <c:pt idx="11">
                  <c:v>61693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304-4EF0-ABAE-F94A5B03EBDB}"/>
            </c:ext>
          </c:extLst>
        </c:ser>
        <c:ser>
          <c:idx val="3"/>
          <c:order val="3"/>
          <c:tx>
            <c:v>2012-13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Monthly_Imports!$B$29:$M$29</c:f>
              <c:numCache>
                <c:formatCode>#,##0</c:formatCode>
                <c:ptCount val="12"/>
                <c:pt idx="0">
                  <c:v>91573</c:v>
                </c:pt>
                <c:pt idx="1">
                  <c:v>94162</c:v>
                </c:pt>
                <c:pt idx="2">
                  <c:v>116451</c:v>
                </c:pt>
                <c:pt idx="3">
                  <c:v>136163</c:v>
                </c:pt>
                <c:pt idx="4" formatCode="#,##0.0">
                  <c:v>118732</c:v>
                </c:pt>
                <c:pt idx="5">
                  <c:v>100947</c:v>
                </c:pt>
                <c:pt idx="6">
                  <c:v>56478</c:v>
                </c:pt>
                <c:pt idx="7">
                  <c:v>45430</c:v>
                </c:pt>
                <c:pt idx="8">
                  <c:v>29709</c:v>
                </c:pt>
                <c:pt idx="9">
                  <c:v>37870</c:v>
                </c:pt>
                <c:pt idx="10">
                  <c:v>84724</c:v>
                </c:pt>
                <c:pt idx="11">
                  <c:v>67639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304-4EF0-ABAE-F94A5B03EBDB}"/>
            </c:ext>
          </c:extLst>
        </c:ser>
        <c:ser>
          <c:idx val="4"/>
          <c:order val="4"/>
          <c:tx>
            <c:v>2013-14</c:v>
          </c:tx>
          <c:spPr>
            <a:ln w="25400">
              <a:solidFill>
                <a:srgbClr val="33CCCC"/>
              </a:solidFill>
              <a:prstDash val="solid"/>
            </a:ln>
          </c:spPr>
          <c:marker>
            <c:symbol val="none"/>
          </c:marker>
          <c:val>
            <c:numRef>
              <c:f>Monthly_Imports!$B$35:$M$35</c:f>
              <c:numCache>
                <c:formatCode>#,##0</c:formatCode>
                <c:ptCount val="12"/>
                <c:pt idx="0">
                  <c:v>82424</c:v>
                </c:pt>
                <c:pt idx="1">
                  <c:v>82894</c:v>
                </c:pt>
                <c:pt idx="2">
                  <c:v>99489</c:v>
                </c:pt>
                <c:pt idx="3">
                  <c:v>98735</c:v>
                </c:pt>
                <c:pt idx="4" formatCode="#,##0.0">
                  <c:v>147701</c:v>
                </c:pt>
                <c:pt idx="5">
                  <c:v>82419</c:v>
                </c:pt>
                <c:pt idx="6">
                  <c:v>58563</c:v>
                </c:pt>
                <c:pt idx="7">
                  <c:v>42637</c:v>
                </c:pt>
                <c:pt idx="8">
                  <c:v>35186</c:v>
                </c:pt>
                <c:pt idx="9">
                  <c:v>31755</c:v>
                </c:pt>
                <c:pt idx="10">
                  <c:v>65409</c:v>
                </c:pt>
                <c:pt idx="11">
                  <c:v>57073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304-4EF0-ABAE-F94A5B03EBDB}"/>
            </c:ext>
          </c:extLst>
        </c:ser>
        <c:ser>
          <c:idx val="5"/>
          <c:order val="5"/>
          <c:tx>
            <c:v>2014/15</c:v>
          </c:tx>
          <c:spPr>
            <a:ln w="25400">
              <a:solidFill>
                <a:srgbClr val="FF6F00"/>
              </a:solidFill>
              <a:prstDash val="solid"/>
            </a:ln>
          </c:spPr>
          <c:marker>
            <c:symbol val="none"/>
          </c:marker>
          <c:val>
            <c:numRef>
              <c:f>Monthly_Imports!$B$41:$M$41</c:f>
              <c:numCache>
                <c:formatCode>#,##0</c:formatCode>
                <c:ptCount val="12"/>
                <c:pt idx="0">
                  <c:v>79017</c:v>
                </c:pt>
                <c:pt idx="1">
                  <c:v>94958</c:v>
                </c:pt>
                <c:pt idx="2">
                  <c:v>115071</c:v>
                </c:pt>
                <c:pt idx="3">
                  <c:v>149497</c:v>
                </c:pt>
                <c:pt idx="4">
                  <c:v>127527</c:v>
                </c:pt>
                <c:pt idx="5">
                  <c:v>87608</c:v>
                </c:pt>
                <c:pt idx="6">
                  <c:v>50557</c:v>
                </c:pt>
                <c:pt idx="7">
                  <c:v>48515</c:v>
                </c:pt>
                <c:pt idx="8">
                  <c:v>28872</c:v>
                </c:pt>
                <c:pt idx="9">
                  <c:v>52393</c:v>
                </c:pt>
                <c:pt idx="10">
                  <c:v>53663</c:v>
                </c:pt>
                <c:pt idx="11">
                  <c:v>59081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304-4EF0-ABAE-F94A5B03EBDB}"/>
            </c:ext>
          </c:extLst>
        </c:ser>
        <c:ser>
          <c:idx val="6"/>
          <c:order val="6"/>
          <c:tx>
            <c:v>2015-16</c:v>
          </c:tx>
          <c:spPr>
            <a:ln w="25400">
              <a:solidFill>
                <a:srgbClr val="9999FF"/>
              </a:solidFill>
              <a:prstDash val="solid"/>
            </a:ln>
          </c:spPr>
          <c:marker>
            <c:symbol val="none"/>
          </c:marker>
          <c:val>
            <c:numRef>
              <c:f>Monthly_Imports!$B$47:$M$47</c:f>
              <c:numCache>
                <c:formatCode>#,##0</c:formatCode>
                <c:ptCount val="12"/>
                <c:pt idx="0">
                  <c:v>82043</c:v>
                </c:pt>
                <c:pt idx="1">
                  <c:v>101617</c:v>
                </c:pt>
                <c:pt idx="2">
                  <c:v>118692</c:v>
                </c:pt>
                <c:pt idx="3">
                  <c:v>123985</c:v>
                </c:pt>
                <c:pt idx="4">
                  <c:v>101223</c:v>
                </c:pt>
                <c:pt idx="5">
                  <c:v>57545</c:v>
                </c:pt>
                <c:pt idx="6">
                  <c:v>35428</c:v>
                </c:pt>
                <c:pt idx="7">
                  <c:v>50400</c:v>
                </c:pt>
                <c:pt idx="8">
                  <c:v>26835</c:v>
                </c:pt>
                <c:pt idx="9">
                  <c:v>22555</c:v>
                </c:pt>
                <c:pt idx="10">
                  <c:v>52797</c:v>
                </c:pt>
                <c:pt idx="11">
                  <c:v>46104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304-4EF0-ABAE-F94A5B03EBDB}"/>
            </c:ext>
          </c:extLst>
        </c:ser>
        <c:ser>
          <c:idx val="7"/>
          <c:order val="7"/>
          <c:tx>
            <c:v>2016/17</c:v>
          </c:tx>
          <c:spPr>
            <a:ln w="25400">
              <a:solidFill>
                <a:srgbClr val="FFCC99"/>
              </a:solidFill>
              <a:prstDash val="solid"/>
            </a:ln>
          </c:spPr>
          <c:marker>
            <c:symbol val="none"/>
          </c:marker>
          <c:val>
            <c:numRef>
              <c:f>Monthly_Imports!$B$53:$L$53</c:f>
              <c:numCache>
                <c:formatCode>#,##0</c:formatCode>
                <c:ptCount val="11"/>
                <c:pt idx="0">
                  <c:v>57028</c:v>
                </c:pt>
                <c:pt idx="1">
                  <c:v>101027</c:v>
                </c:pt>
                <c:pt idx="2">
                  <c:v>87977</c:v>
                </c:pt>
                <c:pt idx="3">
                  <c:v>101176</c:v>
                </c:pt>
                <c:pt idx="4">
                  <c:v>115750</c:v>
                </c:pt>
                <c:pt idx="5">
                  <c:v>67306</c:v>
                </c:pt>
                <c:pt idx="6">
                  <c:v>57878</c:v>
                </c:pt>
                <c:pt idx="7">
                  <c:v>48564</c:v>
                </c:pt>
                <c:pt idx="8">
                  <c:v>38899</c:v>
                </c:pt>
                <c:pt idx="9">
                  <c:v>33316</c:v>
                </c:pt>
                <c:pt idx="10">
                  <c:v>54516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304-4EF0-ABAE-F94A5B03EBDB}"/>
            </c:ext>
          </c:extLst>
        </c:ser>
        <c:ser>
          <c:idx val="9"/>
          <c:order val="8"/>
          <c:tx>
            <c:v>2017/18</c:v>
          </c:tx>
          <c:marker>
            <c:symbol val="none"/>
          </c:marker>
          <c:val>
            <c:numRef>
              <c:f>Monthly_Imports!$B$65:$M$65</c:f>
              <c:numCache>
                <c:formatCode>#,##0</c:formatCode>
                <c:ptCount val="12"/>
                <c:pt idx="0">
                  <c:v>55742</c:v>
                </c:pt>
                <c:pt idx="1">
                  <c:v>81454</c:v>
                </c:pt>
                <c:pt idx="2">
                  <c:v>90449</c:v>
                </c:pt>
                <c:pt idx="3">
                  <c:v>101162</c:v>
                </c:pt>
                <c:pt idx="4">
                  <c:v>88792</c:v>
                </c:pt>
                <c:pt idx="5">
                  <c:v>56284</c:v>
                </c:pt>
                <c:pt idx="6">
                  <c:v>49815</c:v>
                </c:pt>
                <c:pt idx="7">
                  <c:v>51232</c:v>
                </c:pt>
                <c:pt idx="8">
                  <c:v>28735</c:v>
                </c:pt>
                <c:pt idx="9">
                  <c:v>33121</c:v>
                </c:pt>
                <c:pt idx="10">
                  <c:v>46895</c:v>
                </c:pt>
                <c:pt idx="11">
                  <c:v>44381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9304-4EF0-ABAE-F94A5B03EBDB}"/>
            </c:ext>
          </c:extLst>
        </c:ser>
        <c:ser>
          <c:idx val="8"/>
          <c:order val="9"/>
          <c:tx>
            <c:v>2018/19</c:v>
          </c:tx>
          <c:marker>
            <c:symbol val="none"/>
          </c:marker>
          <c:val>
            <c:numRef>
              <c:f>Monthly_Imports!$B$71:$G$71</c:f>
              <c:numCache>
                <c:formatCode>#,##0</c:formatCode>
                <c:ptCount val="6"/>
                <c:pt idx="0">
                  <c:v>59087</c:v>
                </c:pt>
                <c:pt idx="1">
                  <c:v>80685</c:v>
                </c:pt>
                <c:pt idx="2">
                  <c:v>94092</c:v>
                </c:pt>
                <c:pt idx="3">
                  <c:v>119538</c:v>
                </c:pt>
                <c:pt idx="4">
                  <c:v>86715</c:v>
                </c:pt>
                <c:pt idx="5">
                  <c:v>61639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9304-4EF0-ABAE-F94A5B03EB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6267183"/>
        <c:axId val="1"/>
      </c:lineChart>
      <c:catAx>
        <c:axId val="4662671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#,##0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66267183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427845678582212"/>
          <c:y val="0.42156754341877478"/>
          <c:w val="0.90446537988061215"/>
          <c:h val="0.6947186388935425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AU"/>
              <a:t>Monthly Childrens Bicycle Imports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19821584905201"/>
          <c:y val="0.29460551068392699"/>
          <c:w val="0.68973807300626799"/>
          <c:h val="0.61825663509725604"/>
        </c:manualLayout>
      </c:layout>
      <c:lineChart>
        <c:grouping val="standard"/>
        <c:varyColors val="0"/>
        <c:ser>
          <c:idx val="0"/>
          <c:order val="0"/>
          <c:tx>
            <c:v>2009/10</c:v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numRef>
              <c:f>Quarterly_Imports_By_Year!$A$11:$L$11</c:f>
              <c:numCache>
                <c:formatCode>General</c:formatCode>
                <c:ptCount val="12"/>
              </c:numCache>
            </c:numRef>
          </c:cat>
          <c:val>
            <c:numRef>
              <c:f>Monthly_Imports!$B$46:$M$46</c:f>
              <c:numCache>
                <c:formatCode>#,##0</c:formatCode>
                <c:ptCount val="12"/>
                <c:pt idx="0">
                  <c:v>35759</c:v>
                </c:pt>
                <c:pt idx="1">
                  <c:v>37494</c:v>
                </c:pt>
                <c:pt idx="2">
                  <c:v>59252</c:v>
                </c:pt>
                <c:pt idx="3">
                  <c:v>88264</c:v>
                </c:pt>
                <c:pt idx="4">
                  <c:v>96573</c:v>
                </c:pt>
                <c:pt idx="5">
                  <c:v>20383</c:v>
                </c:pt>
                <c:pt idx="6">
                  <c:v>15217</c:v>
                </c:pt>
                <c:pt idx="7">
                  <c:v>26289</c:v>
                </c:pt>
                <c:pt idx="8">
                  <c:v>18034</c:v>
                </c:pt>
                <c:pt idx="9">
                  <c:v>13678</c:v>
                </c:pt>
                <c:pt idx="10">
                  <c:v>23489</c:v>
                </c:pt>
                <c:pt idx="11">
                  <c:v>28420.7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F6D-4984-BFFD-BB7D02B87C43}"/>
            </c:ext>
          </c:extLst>
        </c:ser>
        <c:ser>
          <c:idx val="1"/>
          <c:order val="1"/>
          <c:tx>
            <c:v>2010/11</c:v>
          </c:tx>
          <c:spPr>
            <a:ln w="254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numRef>
              <c:f>Quarterly_Imports_By_Year!$A$11:$L$11</c:f>
              <c:numCache>
                <c:formatCode>General</c:formatCode>
                <c:ptCount val="12"/>
              </c:numCache>
            </c:numRef>
          </c:cat>
          <c:val>
            <c:numRef>
              <c:f>Monthly_Imports!$B$16:$M$16</c:f>
              <c:numCache>
                <c:formatCode>#,##0</c:formatCode>
                <c:ptCount val="12"/>
                <c:pt idx="0">
                  <c:v>43103</c:v>
                </c:pt>
                <c:pt idx="1">
                  <c:v>55430</c:v>
                </c:pt>
                <c:pt idx="2">
                  <c:v>52842</c:v>
                </c:pt>
                <c:pt idx="3">
                  <c:v>59186</c:v>
                </c:pt>
                <c:pt idx="4">
                  <c:v>61852</c:v>
                </c:pt>
                <c:pt idx="5">
                  <c:v>19011</c:v>
                </c:pt>
                <c:pt idx="6">
                  <c:v>14657</c:v>
                </c:pt>
                <c:pt idx="7">
                  <c:v>9228</c:v>
                </c:pt>
                <c:pt idx="8">
                  <c:v>17343</c:v>
                </c:pt>
                <c:pt idx="9">
                  <c:v>10453</c:v>
                </c:pt>
                <c:pt idx="10">
                  <c:v>35099</c:v>
                </c:pt>
                <c:pt idx="11">
                  <c:v>35383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6D-4984-BFFD-BB7D02B87C43}"/>
            </c:ext>
          </c:extLst>
        </c:ser>
        <c:ser>
          <c:idx val="2"/>
          <c:order val="2"/>
          <c:tx>
            <c:v>2011/12</c:v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none"/>
          </c:marker>
          <c:val>
            <c:numRef>
              <c:f>Monthly_Imports!$B$22:$M$22</c:f>
              <c:numCache>
                <c:formatCode>#,##0</c:formatCode>
                <c:ptCount val="12"/>
                <c:pt idx="0">
                  <c:v>14787</c:v>
                </c:pt>
                <c:pt idx="1">
                  <c:v>38067</c:v>
                </c:pt>
                <c:pt idx="2">
                  <c:v>62314</c:v>
                </c:pt>
                <c:pt idx="3">
                  <c:v>40535</c:v>
                </c:pt>
                <c:pt idx="4">
                  <c:v>52018</c:v>
                </c:pt>
                <c:pt idx="5">
                  <c:v>31865</c:v>
                </c:pt>
                <c:pt idx="6">
                  <c:v>16451</c:v>
                </c:pt>
                <c:pt idx="7">
                  <c:v>15495</c:v>
                </c:pt>
                <c:pt idx="8">
                  <c:v>27073</c:v>
                </c:pt>
                <c:pt idx="9">
                  <c:v>15647</c:v>
                </c:pt>
                <c:pt idx="10">
                  <c:v>65679</c:v>
                </c:pt>
                <c:pt idx="11">
                  <c:v>24761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F6D-4984-BFFD-BB7D02B87C43}"/>
            </c:ext>
          </c:extLst>
        </c:ser>
        <c:ser>
          <c:idx val="3"/>
          <c:order val="3"/>
          <c:tx>
            <c:v>2012/13</c:v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val>
            <c:numRef>
              <c:f>Monthly_Imports!$B$28:$M$28</c:f>
              <c:numCache>
                <c:formatCode>#,##0</c:formatCode>
                <c:ptCount val="12"/>
                <c:pt idx="0">
                  <c:v>31549</c:v>
                </c:pt>
                <c:pt idx="1">
                  <c:v>40441</c:v>
                </c:pt>
                <c:pt idx="2">
                  <c:v>56012</c:v>
                </c:pt>
                <c:pt idx="3">
                  <c:v>54403</c:v>
                </c:pt>
                <c:pt idx="4" formatCode="#,##0.0">
                  <c:v>69052</c:v>
                </c:pt>
                <c:pt idx="5">
                  <c:v>28487</c:v>
                </c:pt>
                <c:pt idx="6">
                  <c:v>23540</c:v>
                </c:pt>
                <c:pt idx="7">
                  <c:v>17452</c:v>
                </c:pt>
                <c:pt idx="8">
                  <c:v>15058</c:v>
                </c:pt>
                <c:pt idx="9">
                  <c:v>17308</c:v>
                </c:pt>
                <c:pt idx="10">
                  <c:v>63782</c:v>
                </c:pt>
                <c:pt idx="11">
                  <c:v>19451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F6D-4984-BFFD-BB7D02B87C43}"/>
            </c:ext>
          </c:extLst>
        </c:ser>
        <c:ser>
          <c:idx val="4"/>
          <c:order val="4"/>
          <c:tx>
            <c:v>2013-14</c:v>
          </c:tx>
          <c:spPr>
            <a:ln w="25400">
              <a:solidFill>
                <a:srgbClr val="33CCCC"/>
              </a:solidFill>
              <a:prstDash val="solid"/>
            </a:ln>
          </c:spPr>
          <c:marker>
            <c:symbol val="none"/>
          </c:marker>
          <c:val>
            <c:numRef>
              <c:f>Monthly_Imports!$B$34:$M$34</c:f>
              <c:numCache>
                <c:formatCode>#,##0</c:formatCode>
                <c:ptCount val="12"/>
                <c:pt idx="0">
                  <c:v>39011</c:v>
                </c:pt>
                <c:pt idx="1">
                  <c:v>43488</c:v>
                </c:pt>
                <c:pt idx="2">
                  <c:v>60782</c:v>
                </c:pt>
                <c:pt idx="3">
                  <c:v>54116</c:v>
                </c:pt>
                <c:pt idx="4" formatCode="#,##0.0">
                  <c:v>67701</c:v>
                </c:pt>
                <c:pt idx="5">
                  <c:v>28663</c:v>
                </c:pt>
                <c:pt idx="6">
                  <c:v>19548.900000000001</c:v>
                </c:pt>
                <c:pt idx="7">
                  <c:v>12596</c:v>
                </c:pt>
                <c:pt idx="8">
                  <c:v>12026</c:v>
                </c:pt>
                <c:pt idx="9">
                  <c:v>17061</c:v>
                </c:pt>
                <c:pt idx="10">
                  <c:v>30885</c:v>
                </c:pt>
                <c:pt idx="11">
                  <c:v>38846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F6D-4984-BFFD-BB7D02B87C43}"/>
            </c:ext>
          </c:extLst>
        </c:ser>
        <c:ser>
          <c:idx val="5"/>
          <c:order val="5"/>
          <c:tx>
            <c:v>2014/15</c:v>
          </c:tx>
          <c:spPr>
            <a:ln w="25400">
              <a:solidFill>
                <a:srgbClr val="FF6F00"/>
              </a:solidFill>
              <a:prstDash val="solid"/>
            </a:ln>
          </c:spPr>
          <c:marker>
            <c:symbol val="none"/>
          </c:marker>
          <c:val>
            <c:numRef>
              <c:f>Monthly_Imports!$B$40:$M$40</c:f>
              <c:numCache>
                <c:formatCode>#,##0</c:formatCode>
                <c:ptCount val="12"/>
                <c:pt idx="0">
                  <c:v>37556</c:v>
                </c:pt>
                <c:pt idx="1">
                  <c:v>40228</c:v>
                </c:pt>
                <c:pt idx="2">
                  <c:v>55807</c:v>
                </c:pt>
                <c:pt idx="3">
                  <c:v>80282</c:v>
                </c:pt>
                <c:pt idx="4">
                  <c:v>65280</c:v>
                </c:pt>
                <c:pt idx="5">
                  <c:v>31249</c:v>
                </c:pt>
                <c:pt idx="6">
                  <c:v>18329</c:v>
                </c:pt>
                <c:pt idx="7">
                  <c:v>18178</c:v>
                </c:pt>
                <c:pt idx="8">
                  <c:v>12028</c:v>
                </c:pt>
                <c:pt idx="9">
                  <c:v>24044</c:v>
                </c:pt>
                <c:pt idx="10">
                  <c:v>21994</c:v>
                </c:pt>
                <c:pt idx="11">
                  <c:v>68091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F6D-4984-BFFD-BB7D02B87C43}"/>
            </c:ext>
          </c:extLst>
        </c:ser>
        <c:ser>
          <c:idx val="6"/>
          <c:order val="6"/>
          <c:tx>
            <c:v>2015/16</c:v>
          </c:tx>
          <c:spPr>
            <a:ln w="25400">
              <a:solidFill>
                <a:srgbClr val="9999FF"/>
              </a:solidFill>
              <a:prstDash val="solid"/>
            </a:ln>
          </c:spPr>
          <c:marker>
            <c:symbol val="none"/>
          </c:marker>
          <c:val>
            <c:numRef>
              <c:f>Monthly_Imports!$B$46:$M$46</c:f>
              <c:numCache>
                <c:formatCode>#,##0</c:formatCode>
                <c:ptCount val="12"/>
                <c:pt idx="0">
                  <c:v>35759</c:v>
                </c:pt>
                <c:pt idx="1">
                  <c:v>37494</c:v>
                </c:pt>
                <c:pt idx="2">
                  <c:v>59252</c:v>
                </c:pt>
                <c:pt idx="3">
                  <c:v>88264</c:v>
                </c:pt>
                <c:pt idx="4">
                  <c:v>96573</c:v>
                </c:pt>
                <c:pt idx="5">
                  <c:v>20383</c:v>
                </c:pt>
                <c:pt idx="6">
                  <c:v>15217</c:v>
                </c:pt>
                <c:pt idx="7">
                  <c:v>26289</c:v>
                </c:pt>
                <c:pt idx="8">
                  <c:v>18034</c:v>
                </c:pt>
                <c:pt idx="9">
                  <c:v>13678</c:v>
                </c:pt>
                <c:pt idx="10">
                  <c:v>23489</c:v>
                </c:pt>
                <c:pt idx="11">
                  <c:v>28420.7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F6D-4984-BFFD-BB7D02B87C43}"/>
            </c:ext>
          </c:extLst>
        </c:ser>
        <c:ser>
          <c:idx val="7"/>
          <c:order val="7"/>
          <c:tx>
            <c:v>2016/17</c:v>
          </c:tx>
          <c:spPr>
            <a:ln w="25400">
              <a:solidFill>
                <a:srgbClr val="FFCC99"/>
              </a:solidFill>
              <a:prstDash val="solid"/>
            </a:ln>
          </c:spPr>
          <c:marker>
            <c:symbol val="none"/>
          </c:marker>
          <c:val>
            <c:numRef>
              <c:f>Monthly_Imports!$B$52:$M$52</c:f>
              <c:numCache>
                <c:formatCode>#,##0</c:formatCode>
                <c:ptCount val="12"/>
                <c:pt idx="0">
                  <c:v>22307</c:v>
                </c:pt>
                <c:pt idx="1">
                  <c:v>40594</c:v>
                </c:pt>
                <c:pt idx="2">
                  <c:v>38857</c:v>
                </c:pt>
                <c:pt idx="3">
                  <c:v>66633</c:v>
                </c:pt>
                <c:pt idx="4">
                  <c:v>76127</c:v>
                </c:pt>
                <c:pt idx="5">
                  <c:v>28380</c:v>
                </c:pt>
                <c:pt idx="6">
                  <c:v>27710</c:v>
                </c:pt>
                <c:pt idx="7">
                  <c:v>22140</c:v>
                </c:pt>
                <c:pt idx="8">
                  <c:v>17434.900000000001</c:v>
                </c:pt>
                <c:pt idx="9">
                  <c:v>14910</c:v>
                </c:pt>
                <c:pt idx="10">
                  <c:v>16940</c:v>
                </c:pt>
                <c:pt idx="11">
                  <c:v>10640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F6D-4984-BFFD-BB7D02B87C43}"/>
            </c:ext>
          </c:extLst>
        </c:ser>
        <c:ser>
          <c:idx val="8"/>
          <c:order val="8"/>
          <c:tx>
            <c:v>2017/18</c:v>
          </c:tx>
          <c:marker>
            <c:symbol val="none"/>
          </c:marker>
          <c:val>
            <c:numRef>
              <c:f>Monthly_Imports!$B$64:$M$64</c:f>
              <c:numCache>
                <c:formatCode>#,##0</c:formatCode>
                <c:ptCount val="12"/>
                <c:pt idx="0">
                  <c:v>27361</c:v>
                </c:pt>
                <c:pt idx="1">
                  <c:v>44415</c:v>
                </c:pt>
                <c:pt idx="2">
                  <c:v>43289</c:v>
                </c:pt>
                <c:pt idx="3">
                  <c:v>77758</c:v>
                </c:pt>
                <c:pt idx="4">
                  <c:v>57739</c:v>
                </c:pt>
                <c:pt idx="5">
                  <c:v>26245</c:v>
                </c:pt>
                <c:pt idx="6">
                  <c:v>26490</c:v>
                </c:pt>
                <c:pt idx="7">
                  <c:v>18952</c:v>
                </c:pt>
                <c:pt idx="8">
                  <c:v>15144</c:v>
                </c:pt>
                <c:pt idx="9">
                  <c:v>25891</c:v>
                </c:pt>
                <c:pt idx="10">
                  <c:v>17323</c:v>
                </c:pt>
                <c:pt idx="11">
                  <c:v>23556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CF6D-4984-BFFD-BB7D02B87C43}"/>
            </c:ext>
          </c:extLst>
        </c:ser>
        <c:ser>
          <c:idx val="9"/>
          <c:order val="9"/>
          <c:tx>
            <c:v>2019/20</c:v>
          </c:tx>
          <c:marker>
            <c:symbol val="none"/>
          </c:marker>
          <c:val>
            <c:numRef>
              <c:f>Monthly_Imports!$B$70:$G$70</c:f>
              <c:numCache>
                <c:formatCode>#,##0</c:formatCode>
                <c:ptCount val="6"/>
                <c:pt idx="0">
                  <c:v>35263</c:v>
                </c:pt>
                <c:pt idx="1">
                  <c:v>33799</c:v>
                </c:pt>
                <c:pt idx="2">
                  <c:v>45196</c:v>
                </c:pt>
                <c:pt idx="3">
                  <c:v>83219</c:v>
                </c:pt>
                <c:pt idx="4">
                  <c:v>67792</c:v>
                </c:pt>
                <c:pt idx="5">
                  <c:v>30948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CF6D-4984-BFFD-BB7D02B87C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6276383"/>
        <c:axId val="1"/>
      </c:lineChart>
      <c:catAx>
        <c:axId val="4662763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#,##0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66276383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4248282794437934"/>
          <c:y val="0.4088678532669755"/>
          <c:w val="0.90666945887083272"/>
          <c:h val="0.704462324723070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716016150740238E-2"/>
          <c:y val="4.572141510480203E-2"/>
          <c:w val="0.82099596231493899"/>
          <c:h val="0.84090909090909105"/>
        </c:manualLayout>
      </c:layout>
      <c:lineChart>
        <c:grouping val="standard"/>
        <c:varyColors val="0"/>
        <c:ser>
          <c:idx val="0"/>
          <c:order val="0"/>
          <c:tx>
            <c:strRef>
              <c:f>'Financial Yr cumulative imports'!$B$35</c:f>
              <c:strCache>
                <c:ptCount val="1"/>
                <c:pt idx="0">
                  <c:v>09/10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'Financial Yr cumulative imports'!$A$36:$A$47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'Financial Yr cumulative imports'!$B$36:$B$47</c:f>
              <c:numCache>
                <c:formatCode>#,##0</c:formatCode>
                <c:ptCount val="12"/>
                <c:pt idx="0">
                  <c:v>34099</c:v>
                </c:pt>
                <c:pt idx="1">
                  <c:v>81818</c:v>
                </c:pt>
                <c:pt idx="2">
                  <c:v>134213</c:v>
                </c:pt>
                <c:pt idx="3">
                  <c:v>207095</c:v>
                </c:pt>
                <c:pt idx="4">
                  <c:v>273135</c:v>
                </c:pt>
                <c:pt idx="5">
                  <c:v>293162</c:v>
                </c:pt>
                <c:pt idx="6">
                  <c:v>301439</c:v>
                </c:pt>
                <c:pt idx="7">
                  <c:v>326409</c:v>
                </c:pt>
                <c:pt idx="8">
                  <c:v>357810</c:v>
                </c:pt>
                <c:pt idx="9">
                  <c:v>373882</c:v>
                </c:pt>
                <c:pt idx="10">
                  <c:v>430383</c:v>
                </c:pt>
                <c:pt idx="11">
                  <c:v>469063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9A-4F3A-80DE-DE735341CFD4}"/>
            </c:ext>
          </c:extLst>
        </c:ser>
        <c:ser>
          <c:idx val="1"/>
          <c:order val="1"/>
          <c:tx>
            <c:strRef>
              <c:f>'Financial Yr cumulative imports'!$C$35</c:f>
              <c:strCache>
                <c:ptCount val="1"/>
                <c:pt idx="0">
                  <c:v>10/11</c:v>
                </c:pt>
              </c:strCache>
            </c:strRef>
          </c:tx>
          <c:spPr>
            <a:ln w="254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strRef>
              <c:f>'Financial Yr cumulative imports'!$A$36:$A$47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'Financial Yr cumulative imports'!$C$36:$C$47</c:f>
              <c:numCache>
                <c:formatCode>#,##0</c:formatCode>
                <c:ptCount val="12"/>
                <c:pt idx="0">
                  <c:v>43103</c:v>
                </c:pt>
                <c:pt idx="1">
                  <c:v>98533</c:v>
                </c:pt>
                <c:pt idx="2">
                  <c:v>151375</c:v>
                </c:pt>
                <c:pt idx="3">
                  <c:v>210561</c:v>
                </c:pt>
                <c:pt idx="4">
                  <c:v>272413</c:v>
                </c:pt>
                <c:pt idx="5">
                  <c:v>291424</c:v>
                </c:pt>
                <c:pt idx="6">
                  <c:v>306081</c:v>
                </c:pt>
                <c:pt idx="7">
                  <c:v>315309</c:v>
                </c:pt>
                <c:pt idx="8">
                  <c:v>332652</c:v>
                </c:pt>
                <c:pt idx="9">
                  <c:v>343105</c:v>
                </c:pt>
                <c:pt idx="10">
                  <c:v>378204</c:v>
                </c:pt>
                <c:pt idx="11">
                  <c:v>413587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9A-4F3A-80DE-DE735341CFD4}"/>
            </c:ext>
          </c:extLst>
        </c:ser>
        <c:ser>
          <c:idx val="2"/>
          <c:order val="2"/>
          <c:tx>
            <c:strRef>
              <c:f>'Financial Yr cumulative imports'!$D$35</c:f>
              <c:strCache>
                <c:ptCount val="1"/>
                <c:pt idx="0">
                  <c:v>11/12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strRef>
              <c:f>'Financial Yr cumulative imports'!$A$36:$A$47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'Financial Yr cumulative imports'!$D$36:$D$47</c:f>
              <c:numCache>
                <c:formatCode>#,##0</c:formatCode>
                <c:ptCount val="12"/>
                <c:pt idx="0">
                  <c:v>14787</c:v>
                </c:pt>
                <c:pt idx="1">
                  <c:v>52854</c:v>
                </c:pt>
                <c:pt idx="2">
                  <c:v>115168</c:v>
                </c:pt>
                <c:pt idx="3">
                  <c:v>155703</c:v>
                </c:pt>
                <c:pt idx="4">
                  <c:v>207721</c:v>
                </c:pt>
                <c:pt idx="5">
                  <c:v>239586</c:v>
                </c:pt>
                <c:pt idx="6">
                  <c:v>256037</c:v>
                </c:pt>
                <c:pt idx="7">
                  <c:v>271532</c:v>
                </c:pt>
                <c:pt idx="8">
                  <c:v>298605</c:v>
                </c:pt>
                <c:pt idx="9">
                  <c:v>314252</c:v>
                </c:pt>
                <c:pt idx="10">
                  <c:v>379931</c:v>
                </c:pt>
                <c:pt idx="11">
                  <c:v>404692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29A-4F3A-80DE-DE735341CFD4}"/>
            </c:ext>
          </c:extLst>
        </c:ser>
        <c:ser>
          <c:idx val="3"/>
          <c:order val="3"/>
          <c:tx>
            <c:strRef>
              <c:f>'Financial Yr cumulative imports'!$E$35</c:f>
              <c:strCache>
                <c:ptCount val="1"/>
                <c:pt idx="0">
                  <c:v>12/13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'Financial Yr cumulative imports'!$A$36:$A$47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'Financial Yr cumulative imports'!$E$36:$E$47</c:f>
              <c:numCache>
                <c:formatCode>#,##0</c:formatCode>
                <c:ptCount val="12"/>
                <c:pt idx="0">
                  <c:v>31549</c:v>
                </c:pt>
                <c:pt idx="1">
                  <c:v>71990</c:v>
                </c:pt>
                <c:pt idx="2">
                  <c:v>128002</c:v>
                </c:pt>
                <c:pt idx="3">
                  <c:v>182405</c:v>
                </c:pt>
                <c:pt idx="4">
                  <c:v>251457</c:v>
                </c:pt>
                <c:pt idx="5">
                  <c:v>279944</c:v>
                </c:pt>
                <c:pt idx="6">
                  <c:v>303484</c:v>
                </c:pt>
                <c:pt idx="7">
                  <c:v>320936</c:v>
                </c:pt>
                <c:pt idx="8">
                  <c:v>335994</c:v>
                </c:pt>
                <c:pt idx="9">
                  <c:v>353302</c:v>
                </c:pt>
                <c:pt idx="10">
                  <c:v>417084</c:v>
                </c:pt>
                <c:pt idx="11">
                  <c:v>436535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29A-4F3A-80DE-DE735341CFD4}"/>
            </c:ext>
          </c:extLst>
        </c:ser>
        <c:ser>
          <c:idx val="4"/>
          <c:order val="4"/>
          <c:tx>
            <c:strRef>
              <c:f>'Financial Yr cumulative imports'!$F$35</c:f>
              <c:strCache>
                <c:ptCount val="1"/>
                <c:pt idx="0">
                  <c:v>13/14</c:v>
                </c:pt>
              </c:strCache>
            </c:strRef>
          </c:tx>
          <c:spPr>
            <a:ln w="25400">
              <a:solidFill>
                <a:srgbClr val="33CCCC"/>
              </a:solidFill>
              <a:prstDash val="solid"/>
            </a:ln>
          </c:spPr>
          <c:marker>
            <c:symbol val="none"/>
          </c:marker>
          <c:cat>
            <c:strRef>
              <c:f>'Financial Yr cumulative imports'!$A$36:$A$47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'Financial Yr cumulative imports'!$F$36:$F$47</c:f>
              <c:numCache>
                <c:formatCode>#,##0</c:formatCode>
                <c:ptCount val="12"/>
                <c:pt idx="0">
                  <c:v>39011</c:v>
                </c:pt>
                <c:pt idx="1">
                  <c:v>82499</c:v>
                </c:pt>
                <c:pt idx="2">
                  <c:v>143281</c:v>
                </c:pt>
                <c:pt idx="3">
                  <c:v>197397</c:v>
                </c:pt>
                <c:pt idx="4">
                  <c:v>265098</c:v>
                </c:pt>
                <c:pt idx="5">
                  <c:v>293761</c:v>
                </c:pt>
                <c:pt idx="6">
                  <c:v>313309.90000000002</c:v>
                </c:pt>
                <c:pt idx="7">
                  <c:v>325905.90000000002</c:v>
                </c:pt>
                <c:pt idx="8">
                  <c:v>337931.9</c:v>
                </c:pt>
                <c:pt idx="9">
                  <c:v>354992.9</c:v>
                </c:pt>
                <c:pt idx="10">
                  <c:v>385877.9</c:v>
                </c:pt>
                <c:pt idx="11">
                  <c:v>424723.9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29A-4F3A-80DE-DE735341CFD4}"/>
            </c:ext>
          </c:extLst>
        </c:ser>
        <c:ser>
          <c:idx val="5"/>
          <c:order val="5"/>
          <c:tx>
            <c:strRef>
              <c:f>'Financial Yr cumulative imports'!$G$35</c:f>
              <c:strCache>
                <c:ptCount val="1"/>
                <c:pt idx="0">
                  <c:v>14/15</c:v>
                </c:pt>
              </c:strCache>
            </c:strRef>
          </c:tx>
          <c:spPr>
            <a:ln w="25400">
              <a:solidFill>
                <a:srgbClr val="FF6F00"/>
              </a:solidFill>
              <a:prstDash val="solid"/>
            </a:ln>
          </c:spPr>
          <c:marker>
            <c:symbol val="none"/>
          </c:marker>
          <c:cat>
            <c:strRef>
              <c:f>'Financial Yr cumulative imports'!$A$36:$A$47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'Financial Yr cumulative imports'!$G$36:$G$47</c:f>
              <c:numCache>
                <c:formatCode>#,##0</c:formatCode>
                <c:ptCount val="12"/>
                <c:pt idx="0">
                  <c:v>37556</c:v>
                </c:pt>
                <c:pt idx="1">
                  <c:v>77784</c:v>
                </c:pt>
                <c:pt idx="2">
                  <c:v>133591</c:v>
                </c:pt>
                <c:pt idx="3">
                  <c:v>213873</c:v>
                </c:pt>
                <c:pt idx="4">
                  <c:v>279153</c:v>
                </c:pt>
                <c:pt idx="5">
                  <c:v>310402</c:v>
                </c:pt>
                <c:pt idx="6">
                  <c:v>328731</c:v>
                </c:pt>
                <c:pt idx="7">
                  <c:v>346909</c:v>
                </c:pt>
                <c:pt idx="8">
                  <c:v>358937</c:v>
                </c:pt>
                <c:pt idx="9">
                  <c:v>382981</c:v>
                </c:pt>
                <c:pt idx="10">
                  <c:v>404975</c:v>
                </c:pt>
                <c:pt idx="11">
                  <c:v>473066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29A-4F3A-80DE-DE735341CFD4}"/>
            </c:ext>
          </c:extLst>
        </c:ser>
        <c:ser>
          <c:idx val="6"/>
          <c:order val="6"/>
          <c:tx>
            <c:strRef>
              <c:f>'Financial Yr cumulative imports'!$H$35</c:f>
              <c:strCache>
                <c:ptCount val="1"/>
                <c:pt idx="0">
                  <c:v>15/16</c:v>
                </c:pt>
              </c:strCache>
            </c:strRef>
          </c:tx>
          <c:spPr>
            <a:ln w="25400">
              <a:solidFill>
                <a:srgbClr val="9999FF"/>
              </a:solidFill>
              <a:prstDash val="solid"/>
            </a:ln>
          </c:spPr>
          <c:marker>
            <c:symbol val="none"/>
          </c:marker>
          <c:cat>
            <c:strRef>
              <c:f>'Financial Yr cumulative imports'!$A$36:$A$47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'Financial Yr cumulative imports'!$H$36:$H$47</c:f>
              <c:numCache>
                <c:formatCode>#,##0</c:formatCode>
                <c:ptCount val="12"/>
                <c:pt idx="0">
                  <c:v>35759</c:v>
                </c:pt>
                <c:pt idx="1">
                  <c:v>73253</c:v>
                </c:pt>
                <c:pt idx="2">
                  <c:v>132505</c:v>
                </c:pt>
                <c:pt idx="3">
                  <c:v>220769</c:v>
                </c:pt>
                <c:pt idx="4">
                  <c:v>317342</c:v>
                </c:pt>
                <c:pt idx="5">
                  <c:v>337725</c:v>
                </c:pt>
                <c:pt idx="6">
                  <c:v>352942</c:v>
                </c:pt>
                <c:pt idx="7">
                  <c:v>379231</c:v>
                </c:pt>
                <c:pt idx="8">
                  <c:v>397265</c:v>
                </c:pt>
                <c:pt idx="9">
                  <c:v>410943</c:v>
                </c:pt>
                <c:pt idx="10">
                  <c:v>434432</c:v>
                </c:pt>
                <c:pt idx="11">
                  <c:v>462852.7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29A-4F3A-80DE-DE735341CFD4}"/>
            </c:ext>
          </c:extLst>
        </c:ser>
        <c:ser>
          <c:idx val="7"/>
          <c:order val="7"/>
          <c:tx>
            <c:v>16/17</c:v>
          </c:tx>
          <c:spPr>
            <a:ln w="25400">
              <a:solidFill>
                <a:srgbClr val="FFCC99"/>
              </a:solidFill>
              <a:prstDash val="solid"/>
            </a:ln>
          </c:spPr>
          <c:marker>
            <c:symbol val="none"/>
          </c:marker>
          <c:val>
            <c:numRef>
              <c:f>'Financial Yr cumulative imports'!$I$36:$I$47</c:f>
              <c:numCache>
                <c:formatCode>#,##0</c:formatCode>
                <c:ptCount val="12"/>
                <c:pt idx="0">
                  <c:v>22307</c:v>
                </c:pt>
                <c:pt idx="1">
                  <c:v>62901</c:v>
                </c:pt>
                <c:pt idx="2">
                  <c:v>101758</c:v>
                </c:pt>
                <c:pt idx="3">
                  <c:v>168391</c:v>
                </c:pt>
                <c:pt idx="4">
                  <c:v>244518</c:v>
                </c:pt>
                <c:pt idx="5">
                  <c:v>272898</c:v>
                </c:pt>
                <c:pt idx="6">
                  <c:v>300608</c:v>
                </c:pt>
                <c:pt idx="7">
                  <c:v>322748</c:v>
                </c:pt>
                <c:pt idx="8">
                  <c:v>340182.9</c:v>
                </c:pt>
                <c:pt idx="9">
                  <c:v>355092.9</c:v>
                </c:pt>
                <c:pt idx="10">
                  <c:v>372032.9</c:v>
                </c:pt>
                <c:pt idx="11">
                  <c:v>382672.9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29A-4F3A-80DE-DE735341CFD4}"/>
            </c:ext>
          </c:extLst>
        </c:ser>
        <c:ser>
          <c:idx val="8"/>
          <c:order val="8"/>
          <c:tx>
            <c:v>17/18</c:v>
          </c:tx>
          <c:marker>
            <c:symbol val="none"/>
          </c:marker>
          <c:val>
            <c:numRef>
              <c:f>'Financial Yr cumulative imports'!$J$36:$J$47</c:f>
              <c:numCache>
                <c:formatCode>#,##0</c:formatCode>
                <c:ptCount val="12"/>
                <c:pt idx="0">
                  <c:v>26894</c:v>
                </c:pt>
                <c:pt idx="1">
                  <c:v>79959</c:v>
                </c:pt>
                <c:pt idx="2">
                  <c:v>129920</c:v>
                </c:pt>
                <c:pt idx="3">
                  <c:v>204119</c:v>
                </c:pt>
                <c:pt idx="4">
                  <c:v>285768</c:v>
                </c:pt>
                <c:pt idx="5">
                  <c:v>311727</c:v>
                </c:pt>
                <c:pt idx="6">
                  <c:v>347356</c:v>
                </c:pt>
                <c:pt idx="7">
                  <c:v>361334</c:v>
                </c:pt>
                <c:pt idx="8">
                  <c:v>379478</c:v>
                </c:pt>
                <c:pt idx="9">
                  <c:v>394780</c:v>
                </c:pt>
                <c:pt idx="10">
                  <c:v>419961</c:v>
                </c:pt>
                <c:pt idx="11">
                  <c:v>441347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129A-4F3A-80DE-DE735341CFD4}"/>
            </c:ext>
          </c:extLst>
        </c:ser>
        <c:ser>
          <c:idx val="9"/>
          <c:order val="9"/>
          <c:tx>
            <c:v>18/19</c:v>
          </c:tx>
          <c:marker>
            <c:symbol val="none"/>
          </c:marker>
          <c:val>
            <c:numRef>
              <c:f>'Financial Yr cumulative imports'!$K$36:$K$47</c:f>
              <c:numCache>
                <c:formatCode>#,##0</c:formatCode>
                <c:ptCount val="12"/>
                <c:pt idx="0">
                  <c:v>27361</c:v>
                </c:pt>
                <c:pt idx="1">
                  <c:v>71776</c:v>
                </c:pt>
                <c:pt idx="2">
                  <c:v>115065</c:v>
                </c:pt>
                <c:pt idx="3">
                  <c:v>192823</c:v>
                </c:pt>
                <c:pt idx="4">
                  <c:v>250562</c:v>
                </c:pt>
                <c:pt idx="5">
                  <c:v>276807</c:v>
                </c:pt>
                <c:pt idx="6">
                  <c:v>303297</c:v>
                </c:pt>
                <c:pt idx="7">
                  <c:v>322249</c:v>
                </c:pt>
                <c:pt idx="8">
                  <c:v>337393</c:v>
                </c:pt>
                <c:pt idx="9">
                  <c:v>363284</c:v>
                </c:pt>
                <c:pt idx="10">
                  <c:v>380607</c:v>
                </c:pt>
                <c:pt idx="11">
                  <c:v>404163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129A-4F3A-80DE-DE735341CFD4}"/>
            </c:ext>
          </c:extLst>
        </c:ser>
        <c:ser>
          <c:idx val="10"/>
          <c:order val="10"/>
          <c:tx>
            <c:v>19/20</c:v>
          </c:tx>
          <c:marker>
            <c:symbol val="none"/>
          </c:marker>
          <c:val>
            <c:numRef>
              <c:f>'Financial Yr cumulative imports'!$L$36:$L$47</c:f>
              <c:numCache>
                <c:formatCode>#,##0</c:formatCode>
                <c:ptCount val="12"/>
                <c:pt idx="0">
                  <c:v>35263</c:v>
                </c:pt>
                <c:pt idx="1">
                  <c:v>69062</c:v>
                </c:pt>
                <c:pt idx="2">
                  <c:v>114258</c:v>
                </c:pt>
                <c:pt idx="3">
                  <c:v>197477</c:v>
                </c:pt>
                <c:pt idx="4">
                  <c:v>265269</c:v>
                </c:pt>
                <c:pt idx="5">
                  <c:v>296217</c:v>
                </c:pt>
                <c:pt idx="6">
                  <c:v>313237</c:v>
                </c:pt>
                <c:pt idx="7">
                  <c:v>326979</c:v>
                </c:pt>
                <c:pt idx="8">
                  <c:v>341607</c:v>
                </c:pt>
                <c:pt idx="9">
                  <c:v>357152</c:v>
                </c:pt>
                <c:pt idx="10">
                  <c:v>385275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129A-4F3A-80DE-DE735341CF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6277583"/>
        <c:axId val="1"/>
      </c:lineChart>
      <c:catAx>
        <c:axId val="46627758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466277583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91159357402306129"/>
          <c:y val="0.36742393005290741"/>
          <c:w val="6.3137417420345732E-2"/>
          <c:h val="0.6325760699470925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643952705615485E-2"/>
          <c:y val="3.7146275441752891E-2"/>
          <c:w val="0.82061579651941097"/>
          <c:h val="0.83529411764705896"/>
        </c:manualLayout>
      </c:layout>
      <c:lineChart>
        <c:grouping val="standard"/>
        <c:varyColors val="0"/>
        <c:ser>
          <c:idx val="0"/>
          <c:order val="0"/>
          <c:tx>
            <c:strRef>
              <c:f>'Financial Yr cumulative imports'!$B$60</c:f>
              <c:strCache>
                <c:ptCount val="1"/>
                <c:pt idx="0">
                  <c:v>09/10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'Financial Yr cumulative imports'!$A$61:$A$72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'Financial Yr cumulative imports'!$B$61:$B$72</c:f>
              <c:numCache>
                <c:formatCode>#,##0</c:formatCode>
                <c:ptCount val="12"/>
                <c:pt idx="0">
                  <c:v>71878</c:v>
                </c:pt>
                <c:pt idx="1">
                  <c:v>141008</c:v>
                </c:pt>
                <c:pt idx="2">
                  <c:v>231404</c:v>
                </c:pt>
                <c:pt idx="3">
                  <c:v>356337</c:v>
                </c:pt>
                <c:pt idx="4">
                  <c:v>469728</c:v>
                </c:pt>
                <c:pt idx="5">
                  <c:v>519451</c:v>
                </c:pt>
                <c:pt idx="6">
                  <c:v>563773</c:v>
                </c:pt>
                <c:pt idx="7">
                  <c:v>609799</c:v>
                </c:pt>
                <c:pt idx="8">
                  <c:v>634342</c:v>
                </c:pt>
                <c:pt idx="9">
                  <c:v>662665</c:v>
                </c:pt>
                <c:pt idx="10">
                  <c:v>720227</c:v>
                </c:pt>
                <c:pt idx="11">
                  <c:v>775335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6C2-4603-9182-6CB3D98CF26F}"/>
            </c:ext>
          </c:extLst>
        </c:ser>
        <c:ser>
          <c:idx val="1"/>
          <c:order val="1"/>
          <c:tx>
            <c:strRef>
              <c:f>'Financial Yr cumulative imports'!$C$60</c:f>
              <c:strCache>
                <c:ptCount val="1"/>
                <c:pt idx="0">
                  <c:v>10/11</c:v>
                </c:pt>
              </c:strCache>
            </c:strRef>
          </c:tx>
          <c:spPr>
            <a:ln w="254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strRef>
              <c:f>'Financial Yr cumulative imports'!$A$61:$A$72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'Financial Yr cumulative imports'!$C$61:$C$72</c:f>
              <c:numCache>
                <c:formatCode>#,##0</c:formatCode>
                <c:ptCount val="12"/>
                <c:pt idx="0">
                  <c:v>76372</c:v>
                </c:pt>
                <c:pt idx="1">
                  <c:v>172490</c:v>
                </c:pt>
                <c:pt idx="2">
                  <c:v>300338</c:v>
                </c:pt>
                <c:pt idx="3">
                  <c:v>406434</c:v>
                </c:pt>
                <c:pt idx="4">
                  <c:v>522476</c:v>
                </c:pt>
                <c:pt idx="5">
                  <c:v>590237</c:v>
                </c:pt>
                <c:pt idx="6">
                  <c:v>625366</c:v>
                </c:pt>
                <c:pt idx="7">
                  <c:v>670487</c:v>
                </c:pt>
                <c:pt idx="8">
                  <c:v>703610</c:v>
                </c:pt>
                <c:pt idx="9">
                  <c:v>731221</c:v>
                </c:pt>
                <c:pt idx="10">
                  <c:v>758176</c:v>
                </c:pt>
                <c:pt idx="11">
                  <c:v>804499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C2-4603-9182-6CB3D98CF26F}"/>
            </c:ext>
          </c:extLst>
        </c:ser>
        <c:ser>
          <c:idx val="2"/>
          <c:order val="2"/>
          <c:tx>
            <c:strRef>
              <c:f>'Financial Yr cumulative imports'!$D$60</c:f>
              <c:strCache>
                <c:ptCount val="1"/>
                <c:pt idx="0">
                  <c:v>11/12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strRef>
              <c:f>'Financial Yr cumulative imports'!$A$61:$A$72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'Financial Yr cumulative imports'!$D$61:$D$72</c:f>
              <c:numCache>
                <c:formatCode>#,##0</c:formatCode>
                <c:ptCount val="12"/>
                <c:pt idx="0">
                  <c:v>46655</c:v>
                </c:pt>
                <c:pt idx="1">
                  <c:v>139376</c:v>
                </c:pt>
                <c:pt idx="2">
                  <c:v>244516</c:v>
                </c:pt>
                <c:pt idx="3">
                  <c:v>339566</c:v>
                </c:pt>
                <c:pt idx="4">
                  <c:v>444043</c:v>
                </c:pt>
                <c:pt idx="5">
                  <c:v>507505</c:v>
                </c:pt>
                <c:pt idx="6">
                  <c:v>554287</c:v>
                </c:pt>
                <c:pt idx="7">
                  <c:v>587950</c:v>
                </c:pt>
                <c:pt idx="8">
                  <c:v>620269</c:v>
                </c:pt>
                <c:pt idx="9">
                  <c:v>658805</c:v>
                </c:pt>
                <c:pt idx="10">
                  <c:v>700327</c:v>
                </c:pt>
                <c:pt idx="11">
                  <c:v>762020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6C2-4603-9182-6CB3D98CF26F}"/>
            </c:ext>
          </c:extLst>
        </c:ser>
        <c:ser>
          <c:idx val="3"/>
          <c:order val="3"/>
          <c:tx>
            <c:strRef>
              <c:f>'Financial Yr cumulative imports'!$E$60</c:f>
              <c:strCache>
                <c:ptCount val="1"/>
                <c:pt idx="0">
                  <c:v>12/13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'Financial Yr cumulative imports'!$A$61:$A$72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'Financial Yr cumulative imports'!$E$61:$E$72</c:f>
              <c:numCache>
                <c:formatCode>#,##0</c:formatCode>
                <c:ptCount val="12"/>
                <c:pt idx="0">
                  <c:v>91573</c:v>
                </c:pt>
                <c:pt idx="1">
                  <c:v>185735</c:v>
                </c:pt>
                <c:pt idx="2">
                  <c:v>302186</c:v>
                </c:pt>
                <c:pt idx="3">
                  <c:v>438349</c:v>
                </c:pt>
                <c:pt idx="4">
                  <c:v>557081</c:v>
                </c:pt>
                <c:pt idx="5">
                  <c:v>658028</c:v>
                </c:pt>
                <c:pt idx="6">
                  <c:v>714506</c:v>
                </c:pt>
                <c:pt idx="7">
                  <c:v>759936</c:v>
                </c:pt>
                <c:pt idx="8">
                  <c:v>789645</c:v>
                </c:pt>
                <c:pt idx="9">
                  <c:v>827515</c:v>
                </c:pt>
                <c:pt idx="10">
                  <c:v>912239</c:v>
                </c:pt>
                <c:pt idx="11">
                  <c:v>979878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6C2-4603-9182-6CB3D98CF26F}"/>
            </c:ext>
          </c:extLst>
        </c:ser>
        <c:ser>
          <c:idx val="4"/>
          <c:order val="4"/>
          <c:tx>
            <c:strRef>
              <c:f>'Financial Yr cumulative imports'!$F$60</c:f>
              <c:strCache>
                <c:ptCount val="1"/>
                <c:pt idx="0">
                  <c:v>13/14</c:v>
                </c:pt>
              </c:strCache>
            </c:strRef>
          </c:tx>
          <c:spPr>
            <a:ln w="25400">
              <a:solidFill>
                <a:srgbClr val="33CCCC"/>
              </a:solidFill>
              <a:prstDash val="solid"/>
            </a:ln>
          </c:spPr>
          <c:marker>
            <c:symbol val="none"/>
          </c:marker>
          <c:cat>
            <c:strRef>
              <c:f>'Financial Yr cumulative imports'!$A$61:$A$72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'Financial Yr cumulative imports'!$F$61:$F$72</c:f>
              <c:numCache>
                <c:formatCode>#,##0</c:formatCode>
                <c:ptCount val="12"/>
                <c:pt idx="0">
                  <c:v>82424</c:v>
                </c:pt>
                <c:pt idx="1">
                  <c:v>165318</c:v>
                </c:pt>
                <c:pt idx="2">
                  <c:v>264807</c:v>
                </c:pt>
                <c:pt idx="3">
                  <c:v>363542</c:v>
                </c:pt>
                <c:pt idx="4">
                  <c:v>511243</c:v>
                </c:pt>
                <c:pt idx="5">
                  <c:v>593662</c:v>
                </c:pt>
                <c:pt idx="6">
                  <c:v>652225</c:v>
                </c:pt>
                <c:pt idx="7">
                  <c:v>694862</c:v>
                </c:pt>
                <c:pt idx="8">
                  <c:v>730048</c:v>
                </c:pt>
                <c:pt idx="9">
                  <c:v>761803</c:v>
                </c:pt>
                <c:pt idx="10">
                  <c:v>827212</c:v>
                </c:pt>
                <c:pt idx="11">
                  <c:v>884285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6C2-4603-9182-6CB3D98CF26F}"/>
            </c:ext>
          </c:extLst>
        </c:ser>
        <c:ser>
          <c:idx val="5"/>
          <c:order val="5"/>
          <c:tx>
            <c:strRef>
              <c:f>'Financial Yr cumulative imports'!$G$60</c:f>
              <c:strCache>
                <c:ptCount val="1"/>
                <c:pt idx="0">
                  <c:v>14/15</c:v>
                </c:pt>
              </c:strCache>
            </c:strRef>
          </c:tx>
          <c:spPr>
            <a:ln w="25400">
              <a:solidFill>
                <a:srgbClr val="FF6F00"/>
              </a:solidFill>
              <a:prstDash val="solid"/>
            </a:ln>
          </c:spPr>
          <c:marker>
            <c:symbol val="none"/>
          </c:marker>
          <c:cat>
            <c:strRef>
              <c:f>'Financial Yr cumulative imports'!$A$61:$A$72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'Financial Yr cumulative imports'!$G$61:$G$72</c:f>
              <c:numCache>
                <c:formatCode>#,##0</c:formatCode>
                <c:ptCount val="12"/>
                <c:pt idx="0">
                  <c:v>79017</c:v>
                </c:pt>
                <c:pt idx="1">
                  <c:v>173975</c:v>
                </c:pt>
                <c:pt idx="2">
                  <c:v>289046</c:v>
                </c:pt>
                <c:pt idx="3">
                  <c:v>438543</c:v>
                </c:pt>
                <c:pt idx="4">
                  <c:v>566070</c:v>
                </c:pt>
                <c:pt idx="5">
                  <c:v>653678</c:v>
                </c:pt>
                <c:pt idx="6">
                  <c:v>704235</c:v>
                </c:pt>
                <c:pt idx="7">
                  <c:v>752750</c:v>
                </c:pt>
                <c:pt idx="8">
                  <c:v>781622</c:v>
                </c:pt>
                <c:pt idx="9">
                  <c:v>834015</c:v>
                </c:pt>
                <c:pt idx="10">
                  <c:v>887678</c:v>
                </c:pt>
                <c:pt idx="11">
                  <c:v>946759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6C2-4603-9182-6CB3D98CF26F}"/>
            </c:ext>
          </c:extLst>
        </c:ser>
        <c:ser>
          <c:idx val="6"/>
          <c:order val="6"/>
          <c:tx>
            <c:strRef>
              <c:f>'Financial Yr cumulative imports'!$H$60</c:f>
              <c:strCache>
                <c:ptCount val="1"/>
                <c:pt idx="0">
                  <c:v>15/16</c:v>
                </c:pt>
              </c:strCache>
            </c:strRef>
          </c:tx>
          <c:spPr>
            <a:ln w="25400">
              <a:solidFill>
                <a:srgbClr val="9999FF"/>
              </a:solidFill>
              <a:prstDash val="solid"/>
            </a:ln>
          </c:spPr>
          <c:marker>
            <c:symbol val="none"/>
          </c:marker>
          <c:cat>
            <c:strRef>
              <c:f>'Financial Yr cumulative imports'!$A$61:$A$72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'Financial Yr cumulative imports'!$H$61:$H$72</c:f>
              <c:numCache>
                <c:formatCode>#,##0</c:formatCode>
                <c:ptCount val="12"/>
                <c:pt idx="0">
                  <c:v>82043</c:v>
                </c:pt>
                <c:pt idx="1">
                  <c:v>183660</c:v>
                </c:pt>
                <c:pt idx="2">
                  <c:v>302352</c:v>
                </c:pt>
                <c:pt idx="3">
                  <c:v>426337</c:v>
                </c:pt>
                <c:pt idx="4">
                  <c:v>527560</c:v>
                </c:pt>
                <c:pt idx="5">
                  <c:v>585105</c:v>
                </c:pt>
                <c:pt idx="6">
                  <c:v>620533</c:v>
                </c:pt>
                <c:pt idx="7">
                  <c:v>670933</c:v>
                </c:pt>
                <c:pt idx="8">
                  <c:v>697768</c:v>
                </c:pt>
                <c:pt idx="9">
                  <c:v>720323</c:v>
                </c:pt>
                <c:pt idx="10">
                  <c:v>773120</c:v>
                </c:pt>
                <c:pt idx="11">
                  <c:v>819224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6C2-4603-9182-6CB3D98CF26F}"/>
            </c:ext>
          </c:extLst>
        </c:ser>
        <c:ser>
          <c:idx val="7"/>
          <c:order val="7"/>
          <c:tx>
            <c:strRef>
              <c:f>'Financial Yr cumulative imports'!$I$60</c:f>
              <c:strCache>
                <c:ptCount val="1"/>
                <c:pt idx="0">
                  <c:v>16/17</c:v>
                </c:pt>
              </c:strCache>
            </c:strRef>
          </c:tx>
          <c:spPr>
            <a:ln w="25400">
              <a:solidFill>
                <a:srgbClr val="FFCC99"/>
              </a:solidFill>
              <a:prstDash val="solid"/>
            </a:ln>
          </c:spPr>
          <c:marker>
            <c:symbol val="none"/>
          </c:marker>
          <c:cat>
            <c:strRef>
              <c:f>'Financial Yr cumulative imports'!$A$61:$A$72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'Financial Yr cumulative imports'!$I$61:$I$72</c:f>
              <c:numCache>
                <c:formatCode>#,##0</c:formatCode>
                <c:ptCount val="12"/>
                <c:pt idx="0">
                  <c:v>57028</c:v>
                </c:pt>
                <c:pt idx="1">
                  <c:v>158055</c:v>
                </c:pt>
                <c:pt idx="2">
                  <c:v>246032</c:v>
                </c:pt>
                <c:pt idx="3">
                  <c:v>347208</c:v>
                </c:pt>
                <c:pt idx="4">
                  <c:v>462958</c:v>
                </c:pt>
                <c:pt idx="5">
                  <c:v>530264</c:v>
                </c:pt>
                <c:pt idx="6">
                  <c:v>588142</c:v>
                </c:pt>
                <c:pt idx="7">
                  <c:v>636706</c:v>
                </c:pt>
                <c:pt idx="8">
                  <c:v>675605</c:v>
                </c:pt>
                <c:pt idx="9">
                  <c:v>708921</c:v>
                </c:pt>
                <c:pt idx="10">
                  <c:v>763437</c:v>
                </c:pt>
                <c:pt idx="11">
                  <c:v>795111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6C2-4603-9182-6CB3D98CF26F}"/>
            </c:ext>
          </c:extLst>
        </c:ser>
        <c:ser>
          <c:idx val="8"/>
          <c:order val="8"/>
          <c:tx>
            <c:strRef>
              <c:f>'Financial Yr cumulative imports'!$J$60</c:f>
              <c:strCache>
                <c:ptCount val="1"/>
                <c:pt idx="0">
                  <c:v>17/18</c:v>
                </c:pt>
              </c:strCache>
            </c:strRef>
          </c:tx>
          <c:spPr>
            <a:ln w="25400">
              <a:solidFill>
                <a:srgbClr val="C8E1C8"/>
              </a:solidFill>
              <a:prstDash val="solid"/>
            </a:ln>
          </c:spPr>
          <c:marker>
            <c:symbol val="none"/>
          </c:marker>
          <c:cat>
            <c:strRef>
              <c:f>'Financial Yr cumulative imports'!$A$61:$A$72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'Financial Yr cumulative imports'!$J$61:$J$72</c:f>
              <c:numCache>
                <c:formatCode>#,##0</c:formatCode>
                <c:ptCount val="12"/>
                <c:pt idx="0">
                  <c:v>58322</c:v>
                </c:pt>
                <c:pt idx="1">
                  <c:v>128678</c:v>
                </c:pt>
                <c:pt idx="2">
                  <c:v>221263</c:v>
                </c:pt>
                <c:pt idx="3">
                  <c:v>341545</c:v>
                </c:pt>
                <c:pt idx="4">
                  <c:v>465181</c:v>
                </c:pt>
                <c:pt idx="5">
                  <c:v>540848</c:v>
                </c:pt>
                <c:pt idx="6">
                  <c:v>602659</c:v>
                </c:pt>
                <c:pt idx="7">
                  <c:v>650960</c:v>
                </c:pt>
                <c:pt idx="8">
                  <c:v>706000</c:v>
                </c:pt>
                <c:pt idx="9">
                  <c:v>738073</c:v>
                </c:pt>
                <c:pt idx="10">
                  <c:v>785150</c:v>
                </c:pt>
                <c:pt idx="11">
                  <c:v>837366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26C2-4603-9182-6CB3D98CF26F}"/>
            </c:ext>
          </c:extLst>
        </c:ser>
        <c:ser>
          <c:idx val="9"/>
          <c:order val="9"/>
          <c:tx>
            <c:strRef>
              <c:f>'Financial Yr cumulative imports'!$K$60</c:f>
              <c:strCache>
                <c:ptCount val="1"/>
                <c:pt idx="0">
                  <c:v>18/19</c:v>
                </c:pt>
              </c:strCache>
            </c:strRef>
          </c:tx>
          <c:marker>
            <c:symbol val="none"/>
          </c:marker>
          <c:cat>
            <c:strRef>
              <c:f>'Financial Yr cumulative imports'!$A$61:$A$72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'Financial Yr cumulative imports'!$K$61:$K$72</c:f>
              <c:numCache>
                <c:formatCode>#,##0</c:formatCode>
                <c:ptCount val="12"/>
                <c:pt idx="0">
                  <c:v>55742</c:v>
                </c:pt>
                <c:pt idx="1">
                  <c:v>137196</c:v>
                </c:pt>
                <c:pt idx="2">
                  <c:v>227645</c:v>
                </c:pt>
                <c:pt idx="3">
                  <c:v>328807</c:v>
                </c:pt>
                <c:pt idx="4">
                  <c:v>417599</c:v>
                </c:pt>
                <c:pt idx="5">
                  <c:v>473883</c:v>
                </c:pt>
                <c:pt idx="6">
                  <c:v>523698</c:v>
                </c:pt>
                <c:pt idx="7">
                  <c:v>574930</c:v>
                </c:pt>
                <c:pt idx="8">
                  <c:v>603665</c:v>
                </c:pt>
                <c:pt idx="9">
                  <c:v>636786</c:v>
                </c:pt>
                <c:pt idx="10">
                  <c:v>683681</c:v>
                </c:pt>
                <c:pt idx="11">
                  <c:v>728062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26C2-4603-9182-6CB3D98CF26F}"/>
            </c:ext>
          </c:extLst>
        </c:ser>
        <c:ser>
          <c:idx val="10"/>
          <c:order val="10"/>
          <c:tx>
            <c:strRef>
              <c:f>'Financial Yr cumulative imports'!$L$60</c:f>
              <c:strCache>
                <c:ptCount val="1"/>
                <c:pt idx="0">
                  <c:v>19/20</c:v>
                </c:pt>
              </c:strCache>
            </c:strRef>
          </c:tx>
          <c:marker>
            <c:symbol val="none"/>
          </c:marker>
          <c:cat>
            <c:strRef>
              <c:f>'Financial Yr cumulative imports'!$A$61:$A$72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'Financial Yr cumulative imports'!$L$61:$L$72</c:f>
              <c:numCache>
                <c:formatCode>#,##0</c:formatCode>
                <c:ptCount val="12"/>
                <c:pt idx="0">
                  <c:v>59087</c:v>
                </c:pt>
                <c:pt idx="1">
                  <c:v>139772</c:v>
                </c:pt>
                <c:pt idx="2">
                  <c:v>233864</c:v>
                </c:pt>
                <c:pt idx="3">
                  <c:v>353402</c:v>
                </c:pt>
                <c:pt idx="4">
                  <c:v>440117</c:v>
                </c:pt>
                <c:pt idx="5">
                  <c:v>501756</c:v>
                </c:pt>
                <c:pt idx="6">
                  <c:v>553230</c:v>
                </c:pt>
                <c:pt idx="7">
                  <c:v>584720</c:v>
                </c:pt>
                <c:pt idx="8">
                  <c:v>609792</c:v>
                </c:pt>
                <c:pt idx="9">
                  <c:v>632614</c:v>
                </c:pt>
                <c:pt idx="10">
                  <c:v>686158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26C2-4603-9182-6CB3D98CF2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6265983"/>
        <c:axId val="1"/>
      </c:lineChart>
      <c:catAx>
        <c:axId val="46626598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466265983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91253604410559785"/>
          <c:y val="0.36470545348498107"/>
          <c:w val="6.5214292657862272E-2"/>
          <c:h val="0.6168540390784484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484438430311207E-2"/>
          <c:y val="5.1181102362204703E-2"/>
          <c:w val="0.81867388362652205"/>
          <c:h val="0.83464566929133799"/>
        </c:manualLayout>
      </c:layout>
      <c:lineChart>
        <c:grouping val="standard"/>
        <c:varyColors val="0"/>
        <c:ser>
          <c:idx val="0"/>
          <c:order val="0"/>
          <c:tx>
            <c:strRef>
              <c:f>'Financial Yr cumulative imports'!$B$11</c:f>
              <c:strCache>
                <c:ptCount val="1"/>
                <c:pt idx="0">
                  <c:v>09/10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'Financial Yr cumulative imports'!$A$12:$A$23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'Financial Yr cumulative imports'!$B$12:$B$23</c:f>
              <c:numCache>
                <c:formatCode>#,##0</c:formatCode>
                <c:ptCount val="12"/>
                <c:pt idx="0">
                  <c:v>105977</c:v>
                </c:pt>
                <c:pt idx="1">
                  <c:v>222826</c:v>
                </c:pt>
                <c:pt idx="2">
                  <c:v>365617</c:v>
                </c:pt>
                <c:pt idx="3">
                  <c:v>563432</c:v>
                </c:pt>
                <c:pt idx="4">
                  <c:v>742863</c:v>
                </c:pt>
                <c:pt idx="5">
                  <c:v>812613</c:v>
                </c:pt>
                <c:pt idx="6">
                  <c:v>865212</c:v>
                </c:pt>
                <c:pt idx="7">
                  <c:v>936208</c:v>
                </c:pt>
                <c:pt idx="8">
                  <c:v>992152</c:v>
                </c:pt>
                <c:pt idx="9">
                  <c:v>1036547</c:v>
                </c:pt>
                <c:pt idx="10">
                  <c:v>1150610</c:v>
                </c:pt>
                <c:pt idx="11">
                  <c:v>1244398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E11-4C0A-A234-3B6C9C958295}"/>
            </c:ext>
          </c:extLst>
        </c:ser>
        <c:ser>
          <c:idx val="1"/>
          <c:order val="1"/>
          <c:tx>
            <c:strRef>
              <c:f>'Financial Yr cumulative imports'!$C$11</c:f>
              <c:strCache>
                <c:ptCount val="1"/>
                <c:pt idx="0">
                  <c:v>10/11</c:v>
                </c:pt>
              </c:strCache>
            </c:strRef>
          </c:tx>
          <c:marker>
            <c:symbol val="none"/>
          </c:marker>
          <c:cat>
            <c:strRef>
              <c:f>'Financial Yr cumulative imports'!$A$12:$A$23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'Financial Yr cumulative imports'!$C$12:$C$23</c:f>
              <c:numCache>
                <c:formatCode>#,##0</c:formatCode>
                <c:ptCount val="12"/>
                <c:pt idx="0">
                  <c:v>119475</c:v>
                </c:pt>
                <c:pt idx="1">
                  <c:v>271023</c:v>
                </c:pt>
                <c:pt idx="2">
                  <c:v>451713</c:v>
                </c:pt>
                <c:pt idx="3">
                  <c:v>616995</c:v>
                </c:pt>
                <c:pt idx="4">
                  <c:v>794889</c:v>
                </c:pt>
                <c:pt idx="5">
                  <c:v>881661</c:v>
                </c:pt>
                <c:pt idx="6">
                  <c:v>931447</c:v>
                </c:pt>
                <c:pt idx="7">
                  <c:v>985796</c:v>
                </c:pt>
                <c:pt idx="8">
                  <c:v>1036262</c:v>
                </c:pt>
                <c:pt idx="9">
                  <c:v>1074326</c:v>
                </c:pt>
                <c:pt idx="10">
                  <c:v>1136380</c:v>
                </c:pt>
                <c:pt idx="11">
                  <c:v>1218086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E11-4C0A-A234-3B6C9C958295}"/>
            </c:ext>
          </c:extLst>
        </c:ser>
        <c:ser>
          <c:idx val="2"/>
          <c:order val="2"/>
          <c:tx>
            <c:strRef>
              <c:f>'Financial Yr cumulative imports'!$D$11</c:f>
              <c:strCache>
                <c:ptCount val="1"/>
                <c:pt idx="0">
                  <c:v>11/12</c:v>
                </c:pt>
              </c:strCache>
            </c:strRef>
          </c:tx>
          <c:marker>
            <c:symbol val="none"/>
          </c:marker>
          <c:cat>
            <c:strRef>
              <c:f>'Financial Yr cumulative imports'!$A$12:$A$23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'Financial Yr cumulative imports'!$D$12:$D$23</c:f>
              <c:numCache>
                <c:formatCode>#,##0</c:formatCode>
                <c:ptCount val="12"/>
                <c:pt idx="0">
                  <c:v>61442</c:v>
                </c:pt>
                <c:pt idx="1">
                  <c:v>192230</c:v>
                </c:pt>
                <c:pt idx="2">
                  <c:v>359684</c:v>
                </c:pt>
                <c:pt idx="3">
                  <c:v>495269</c:v>
                </c:pt>
                <c:pt idx="4">
                  <c:v>651764</c:v>
                </c:pt>
                <c:pt idx="5">
                  <c:v>747091</c:v>
                </c:pt>
                <c:pt idx="6">
                  <c:v>810324</c:v>
                </c:pt>
                <c:pt idx="7">
                  <c:v>859482</c:v>
                </c:pt>
                <c:pt idx="8">
                  <c:v>918874</c:v>
                </c:pt>
                <c:pt idx="9">
                  <c:v>973057</c:v>
                </c:pt>
                <c:pt idx="10">
                  <c:v>1080258</c:v>
                </c:pt>
                <c:pt idx="11">
                  <c:v>1166712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E11-4C0A-A234-3B6C9C958295}"/>
            </c:ext>
          </c:extLst>
        </c:ser>
        <c:ser>
          <c:idx val="3"/>
          <c:order val="3"/>
          <c:tx>
            <c:strRef>
              <c:f>'Financial Yr cumulative imports'!$E$11</c:f>
              <c:strCache>
                <c:ptCount val="1"/>
                <c:pt idx="0">
                  <c:v>12/13</c:v>
                </c:pt>
              </c:strCache>
            </c:strRef>
          </c:tx>
          <c:marker>
            <c:symbol val="none"/>
          </c:marker>
          <c:cat>
            <c:strRef>
              <c:f>'Financial Yr cumulative imports'!$A$12:$A$23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'Financial Yr cumulative imports'!$E$12:$E$23</c:f>
              <c:numCache>
                <c:formatCode>#,##0</c:formatCode>
                <c:ptCount val="12"/>
                <c:pt idx="0">
                  <c:v>123122</c:v>
                </c:pt>
                <c:pt idx="1">
                  <c:v>257725</c:v>
                </c:pt>
                <c:pt idx="2">
                  <c:v>430188</c:v>
                </c:pt>
                <c:pt idx="3">
                  <c:v>620754</c:v>
                </c:pt>
                <c:pt idx="4">
                  <c:v>808538</c:v>
                </c:pt>
                <c:pt idx="5">
                  <c:v>937972</c:v>
                </c:pt>
                <c:pt idx="6">
                  <c:v>1017990</c:v>
                </c:pt>
                <c:pt idx="7">
                  <c:v>1080872</c:v>
                </c:pt>
                <c:pt idx="8">
                  <c:v>1125639</c:v>
                </c:pt>
                <c:pt idx="9">
                  <c:v>1180817</c:v>
                </c:pt>
                <c:pt idx="10">
                  <c:v>1329323</c:v>
                </c:pt>
                <c:pt idx="11">
                  <c:v>1416413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E11-4C0A-A234-3B6C9C958295}"/>
            </c:ext>
          </c:extLst>
        </c:ser>
        <c:ser>
          <c:idx val="4"/>
          <c:order val="4"/>
          <c:tx>
            <c:strRef>
              <c:f>'Financial Yr cumulative imports'!$F$11</c:f>
              <c:strCache>
                <c:ptCount val="1"/>
                <c:pt idx="0">
                  <c:v>13/14</c:v>
                </c:pt>
              </c:strCache>
            </c:strRef>
          </c:tx>
          <c:marker>
            <c:symbol val="none"/>
          </c:marker>
          <c:cat>
            <c:strRef>
              <c:f>'Financial Yr cumulative imports'!$A$12:$A$23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'Financial Yr cumulative imports'!$F$12:$F$23</c:f>
              <c:numCache>
                <c:formatCode>#,##0</c:formatCode>
                <c:ptCount val="12"/>
                <c:pt idx="0">
                  <c:v>121435</c:v>
                </c:pt>
                <c:pt idx="1">
                  <c:v>247817</c:v>
                </c:pt>
                <c:pt idx="2">
                  <c:v>408088</c:v>
                </c:pt>
                <c:pt idx="3">
                  <c:v>560939</c:v>
                </c:pt>
                <c:pt idx="4">
                  <c:v>776341</c:v>
                </c:pt>
                <c:pt idx="5">
                  <c:v>887423</c:v>
                </c:pt>
                <c:pt idx="6">
                  <c:v>965534.9</c:v>
                </c:pt>
                <c:pt idx="7">
                  <c:v>1020767.9</c:v>
                </c:pt>
                <c:pt idx="8">
                  <c:v>1067979.8999999999</c:v>
                </c:pt>
                <c:pt idx="9">
                  <c:v>1116795.8999999999</c:v>
                </c:pt>
                <c:pt idx="10">
                  <c:v>1213089.8999999999</c:v>
                </c:pt>
                <c:pt idx="11">
                  <c:v>1309008.8999999999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E11-4C0A-A234-3B6C9C958295}"/>
            </c:ext>
          </c:extLst>
        </c:ser>
        <c:ser>
          <c:idx val="5"/>
          <c:order val="5"/>
          <c:tx>
            <c:strRef>
              <c:f>'Financial Yr cumulative imports'!$G$11</c:f>
              <c:strCache>
                <c:ptCount val="1"/>
                <c:pt idx="0">
                  <c:v>14/15</c:v>
                </c:pt>
              </c:strCache>
            </c:strRef>
          </c:tx>
          <c:marker>
            <c:symbol val="none"/>
          </c:marker>
          <c:cat>
            <c:strRef>
              <c:f>'Financial Yr cumulative imports'!$A$12:$A$23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'Financial Yr cumulative imports'!$G$12:$G$23</c:f>
              <c:numCache>
                <c:formatCode>#,##0</c:formatCode>
                <c:ptCount val="12"/>
                <c:pt idx="0">
                  <c:v>116573</c:v>
                </c:pt>
                <c:pt idx="1">
                  <c:v>251759</c:v>
                </c:pt>
                <c:pt idx="2">
                  <c:v>422637</c:v>
                </c:pt>
                <c:pt idx="3">
                  <c:v>652416</c:v>
                </c:pt>
                <c:pt idx="4">
                  <c:v>845223</c:v>
                </c:pt>
                <c:pt idx="5">
                  <c:v>964080</c:v>
                </c:pt>
                <c:pt idx="6">
                  <c:v>1032966</c:v>
                </c:pt>
                <c:pt idx="7">
                  <c:v>1099659</c:v>
                </c:pt>
                <c:pt idx="8">
                  <c:v>1140559</c:v>
                </c:pt>
                <c:pt idx="9">
                  <c:v>1216996</c:v>
                </c:pt>
                <c:pt idx="10">
                  <c:v>1292653</c:v>
                </c:pt>
                <c:pt idx="11">
                  <c:v>1419825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E11-4C0A-A234-3B6C9C958295}"/>
            </c:ext>
          </c:extLst>
        </c:ser>
        <c:ser>
          <c:idx val="6"/>
          <c:order val="6"/>
          <c:tx>
            <c:strRef>
              <c:f>'Financial Yr cumulative imports'!$H$11</c:f>
              <c:strCache>
                <c:ptCount val="1"/>
                <c:pt idx="0">
                  <c:v>15/16</c:v>
                </c:pt>
              </c:strCache>
            </c:strRef>
          </c:tx>
          <c:marker>
            <c:symbol val="none"/>
          </c:marker>
          <c:cat>
            <c:strRef>
              <c:f>'Financial Yr cumulative imports'!$A$12:$A$23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'Financial Yr cumulative imports'!$H$12:$H$23</c:f>
              <c:numCache>
                <c:formatCode>#,##0</c:formatCode>
                <c:ptCount val="12"/>
                <c:pt idx="0">
                  <c:v>117802</c:v>
                </c:pt>
                <c:pt idx="1">
                  <c:v>256913</c:v>
                </c:pt>
                <c:pt idx="2">
                  <c:v>434857</c:v>
                </c:pt>
                <c:pt idx="3">
                  <c:v>647106</c:v>
                </c:pt>
                <c:pt idx="4">
                  <c:v>844902</c:v>
                </c:pt>
                <c:pt idx="5">
                  <c:v>922830</c:v>
                </c:pt>
                <c:pt idx="6">
                  <c:v>973475</c:v>
                </c:pt>
                <c:pt idx="7">
                  <c:v>1050164</c:v>
                </c:pt>
                <c:pt idx="8">
                  <c:v>1095033</c:v>
                </c:pt>
                <c:pt idx="9">
                  <c:v>1131266</c:v>
                </c:pt>
                <c:pt idx="10">
                  <c:v>1207552</c:v>
                </c:pt>
                <c:pt idx="11">
                  <c:v>1282076.7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E11-4C0A-A234-3B6C9C958295}"/>
            </c:ext>
          </c:extLst>
        </c:ser>
        <c:ser>
          <c:idx val="7"/>
          <c:order val="7"/>
          <c:tx>
            <c:strRef>
              <c:f>'Financial Yr cumulative imports'!$I$11</c:f>
              <c:strCache>
                <c:ptCount val="1"/>
                <c:pt idx="0">
                  <c:v>16/17</c:v>
                </c:pt>
              </c:strCache>
            </c:strRef>
          </c:tx>
          <c:marker>
            <c:symbol val="none"/>
          </c:marker>
          <c:cat>
            <c:strRef>
              <c:f>'Financial Yr cumulative imports'!$A$12:$A$23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'Financial Yr cumulative imports'!$I$12:$I$23</c:f>
              <c:numCache>
                <c:formatCode>#,##0</c:formatCode>
                <c:ptCount val="12"/>
                <c:pt idx="0">
                  <c:v>79335</c:v>
                </c:pt>
                <c:pt idx="1">
                  <c:v>220956</c:v>
                </c:pt>
                <c:pt idx="2">
                  <c:v>347790</c:v>
                </c:pt>
                <c:pt idx="3">
                  <c:v>515599</c:v>
                </c:pt>
                <c:pt idx="4">
                  <c:v>707476</c:v>
                </c:pt>
                <c:pt idx="5">
                  <c:v>803162</c:v>
                </c:pt>
                <c:pt idx="6">
                  <c:v>888750</c:v>
                </c:pt>
                <c:pt idx="7">
                  <c:v>959454</c:v>
                </c:pt>
                <c:pt idx="8">
                  <c:v>1015787.9</c:v>
                </c:pt>
                <c:pt idx="9">
                  <c:v>1064013.8999999999</c:v>
                </c:pt>
                <c:pt idx="10">
                  <c:v>1135469.8999999999</c:v>
                </c:pt>
                <c:pt idx="11">
                  <c:v>1177783.8999999999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E11-4C0A-A234-3B6C9C958295}"/>
            </c:ext>
          </c:extLst>
        </c:ser>
        <c:ser>
          <c:idx val="8"/>
          <c:order val="8"/>
          <c:tx>
            <c:strRef>
              <c:f>'Financial Yr cumulative imports'!$J$11</c:f>
              <c:strCache>
                <c:ptCount val="1"/>
                <c:pt idx="0">
                  <c:v>17/18</c:v>
                </c:pt>
              </c:strCache>
            </c:strRef>
          </c:tx>
          <c:marker>
            <c:symbol val="none"/>
          </c:marker>
          <c:cat>
            <c:strRef>
              <c:f>'Financial Yr cumulative imports'!$A$12:$A$23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'Financial Yr cumulative imports'!$J$12:$J$23</c:f>
              <c:numCache>
                <c:formatCode>#,##0</c:formatCode>
                <c:ptCount val="12"/>
                <c:pt idx="0">
                  <c:v>85216</c:v>
                </c:pt>
                <c:pt idx="1">
                  <c:v>208637</c:v>
                </c:pt>
                <c:pt idx="2">
                  <c:v>351183</c:v>
                </c:pt>
                <c:pt idx="3">
                  <c:v>545664</c:v>
                </c:pt>
                <c:pt idx="4">
                  <c:v>750949</c:v>
                </c:pt>
                <c:pt idx="5">
                  <c:v>852575</c:v>
                </c:pt>
                <c:pt idx="6">
                  <c:v>950015</c:v>
                </c:pt>
                <c:pt idx="7">
                  <c:v>1012294</c:v>
                </c:pt>
                <c:pt idx="8">
                  <c:v>1085478</c:v>
                </c:pt>
                <c:pt idx="9">
                  <c:v>1132853</c:v>
                </c:pt>
                <c:pt idx="10">
                  <c:v>1205111</c:v>
                </c:pt>
                <c:pt idx="11">
                  <c:v>1278713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1E11-4C0A-A234-3B6C9C958295}"/>
            </c:ext>
          </c:extLst>
        </c:ser>
        <c:ser>
          <c:idx val="9"/>
          <c:order val="9"/>
          <c:tx>
            <c:v>18/19</c:v>
          </c:tx>
          <c:marker>
            <c:symbol val="none"/>
          </c:marker>
          <c:val>
            <c:numRef>
              <c:f>'Financial Yr cumulative imports'!$K$12:$K$23</c:f>
              <c:numCache>
                <c:formatCode>#,##0</c:formatCode>
                <c:ptCount val="12"/>
                <c:pt idx="0">
                  <c:v>83103</c:v>
                </c:pt>
                <c:pt idx="1">
                  <c:v>208972</c:v>
                </c:pt>
                <c:pt idx="2">
                  <c:v>342710</c:v>
                </c:pt>
                <c:pt idx="3">
                  <c:v>521630</c:v>
                </c:pt>
                <c:pt idx="4">
                  <c:v>668161</c:v>
                </c:pt>
                <c:pt idx="5">
                  <c:v>750690</c:v>
                </c:pt>
                <c:pt idx="6">
                  <c:v>826995</c:v>
                </c:pt>
                <c:pt idx="7">
                  <c:v>897179</c:v>
                </c:pt>
                <c:pt idx="8">
                  <c:v>941058</c:v>
                </c:pt>
                <c:pt idx="9">
                  <c:v>1000070</c:v>
                </c:pt>
                <c:pt idx="10">
                  <c:v>1064288</c:v>
                </c:pt>
                <c:pt idx="11">
                  <c:v>1132225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1E11-4C0A-A234-3B6C9C958295}"/>
            </c:ext>
          </c:extLst>
        </c:ser>
        <c:ser>
          <c:idx val="10"/>
          <c:order val="10"/>
          <c:tx>
            <c:v>19/20</c:v>
          </c:tx>
          <c:marker>
            <c:symbol val="none"/>
          </c:marker>
          <c:val>
            <c:numRef>
              <c:f>'Financial Yr cumulative imports'!$L$12:$L$23</c:f>
              <c:numCache>
                <c:formatCode>#,##0</c:formatCode>
                <c:ptCount val="12"/>
                <c:pt idx="0">
                  <c:v>94350</c:v>
                </c:pt>
                <c:pt idx="1">
                  <c:v>208834</c:v>
                </c:pt>
                <c:pt idx="2">
                  <c:v>348122</c:v>
                </c:pt>
                <c:pt idx="3">
                  <c:v>550879</c:v>
                </c:pt>
                <c:pt idx="4">
                  <c:v>705386</c:v>
                </c:pt>
                <c:pt idx="5">
                  <c:v>797973</c:v>
                </c:pt>
                <c:pt idx="6">
                  <c:v>866467</c:v>
                </c:pt>
                <c:pt idx="7">
                  <c:v>911699</c:v>
                </c:pt>
                <c:pt idx="8">
                  <c:v>951399</c:v>
                </c:pt>
                <c:pt idx="9">
                  <c:v>989766</c:v>
                </c:pt>
                <c:pt idx="10">
                  <c:v>1071433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1E11-4C0A-A234-3B6C9C9582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6279183"/>
        <c:axId val="1"/>
      </c:lineChart>
      <c:catAx>
        <c:axId val="46627918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466279183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91253601694331765"/>
          <c:y val="0.36220402913212008"/>
          <c:w val="6.6356883773578623E-2"/>
          <c:h val="0.6377959708678799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'Financial Yr Imports'!$B$13:$B$32</c:f>
              <c:strCache>
                <c:ptCount val="20"/>
                <c:pt idx="0">
                  <c:v>1999/00</c:v>
                </c:pt>
                <c:pt idx="1">
                  <c:v>2000/01</c:v>
                </c:pt>
                <c:pt idx="2">
                  <c:v>2001/02</c:v>
                </c:pt>
                <c:pt idx="3">
                  <c:v>2002/03</c:v>
                </c:pt>
                <c:pt idx="4">
                  <c:v>2003/04</c:v>
                </c:pt>
                <c:pt idx="5">
                  <c:v>2004/05</c:v>
                </c:pt>
                <c:pt idx="6">
                  <c:v>2005/06</c:v>
                </c:pt>
                <c:pt idx="7">
                  <c:v>2006/07</c:v>
                </c:pt>
                <c:pt idx="8">
                  <c:v>2007/08</c:v>
                </c:pt>
                <c:pt idx="9">
                  <c:v>2008/09</c:v>
                </c:pt>
                <c:pt idx="10">
                  <c:v>2009/10</c:v>
                </c:pt>
                <c:pt idx="11">
                  <c:v>2010/11</c:v>
                </c:pt>
                <c:pt idx="12">
                  <c:v>2011/12</c:v>
                </c:pt>
                <c:pt idx="13">
                  <c:v>2012/13</c:v>
                </c:pt>
                <c:pt idx="14">
                  <c:v>2013/14</c:v>
                </c:pt>
                <c:pt idx="15">
                  <c:v>2014/15</c:v>
                </c:pt>
                <c:pt idx="16">
                  <c:v>2015/16</c:v>
                </c:pt>
                <c:pt idx="17">
                  <c:v>2016/17</c:v>
                </c:pt>
                <c:pt idx="18">
                  <c:v>2017/18</c:v>
                </c:pt>
                <c:pt idx="19">
                  <c:v>2018/19</c:v>
                </c:pt>
              </c:strCache>
            </c:strRef>
          </c:cat>
          <c:val>
            <c:numRef>
              <c:f>'Financial Yr Imports'!$C$12:$C$32</c:f>
              <c:numCache>
                <c:formatCode>#,##0</c:formatCode>
                <c:ptCount val="21"/>
                <c:pt idx="0">
                  <c:v>717121.9</c:v>
                </c:pt>
                <c:pt idx="1">
                  <c:v>842921.1</c:v>
                </c:pt>
                <c:pt idx="2">
                  <c:v>892619.9</c:v>
                </c:pt>
                <c:pt idx="3">
                  <c:v>848338.3</c:v>
                </c:pt>
                <c:pt idx="4">
                  <c:v>1128274.3</c:v>
                </c:pt>
                <c:pt idx="5">
                  <c:v>1062509.8</c:v>
                </c:pt>
                <c:pt idx="6">
                  <c:v>1208739</c:v>
                </c:pt>
                <c:pt idx="7">
                  <c:v>1288816</c:v>
                </c:pt>
                <c:pt idx="8">
                  <c:v>1291450.8160000001</c:v>
                </c:pt>
                <c:pt idx="9">
                  <c:v>1334382</c:v>
                </c:pt>
                <c:pt idx="10">
                  <c:v>1154345</c:v>
                </c:pt>
                <c:pt idx="11">
                  <c:v>1244398</c:v>
                </c:pt>
                <c:pt idx="12">
                  <c:v>1218086</c:v>
                </c:pt>
                <c:pt idx="13">
                  <c:v>1166712</c:v>
                </c:pt>
                <c:pt idx="14">
                  <c:v>1416413</c:v>
                </c:pt>
                <c:pt idx="15">
                  <c:v>1309008.8999999999</c:v>
                </c:pt>
                <c:pt idx="16">
                  <c:v>1419825</c:v>
                </c:pt>
                <c:pt idx="17">
                  <c:v>1282076.7</c:v>
                </c:pt>
                <c:pt idx="18">
                  <c:v>1177783.8999999999</c:v>
                </c:pt>
                <c:pt idx="19">
                  <c:v>1278713</c:v>
                </c:pt>
                <c:pt idx="20">
                  <c:v>1132225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35-45FF-83B9-7A3CC54461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6279583"/>
        <c:axId val="1"/>
      </c:lineChart>
      <c:catAx>
        <c:axId val="46627958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466279583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0.75" l="0.7" r="0.7" t="0.75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808080"/>
                </a:solidFill>
                <a:latin typeface="Cambria"/>
                <a:ea typeface="Cambria"/>
                <a:cs typeface="Cambria"/>
              </a:defRPr>
            </a:pPr>
            <a:r>
              <a:rPr lang="en-AU"/>
              <a:t>Annual Bicycle Imports - Financial Year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248037514049006E-2"/>
          <c:y val="0.22112175587588301"/>
          <c:w val="0.88580820966319695"/>
          <c:h val="0.65676461819851895"/>
        </c:manualLayout>
      </c:layout>
      <c:lineChart>
        <c:grouping val="stacked"/>
        <c:varyColors val="0"/>
        <c:ser>
          <c:idx val="0"/>
          <c:order val="0"/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'Calendar Yr import'!$C$11:$C$34</c:f>
              <c:strCache>
                <c:ptCount val="24"/>
                <c:pt idx="0">
                  <c:v>95/96</c:v>
                </c:pt>
                <c:pt idx="1">
                  <c:v>96/97</c:v>
                </c:pt>
                <c:pt idx="2">
                  <c:v>97/98</c:v>
                </c:pt>
                <c:pt idx="3">
                  <c:v>98/99</c:v>
                </c:pt>
                <c:pt idx="4">
                  <c:v>99/00</c:v>
                </c:pt>
                <c:pt idx="5">
                  <c:v>00/01</c:v>
                </c:pt>
                <c:pt idx="6">
                  <c:v>01/02</c:v>
                </c:pt>
                <c:pt idx="7">
                  <c:v>02/03</c:v>
                </c:pt>
                <c:pt idx="8">
                  <c:v>03/04</c:v>
                </c:pt>
                <c:pt idx="9">
                  <c:v>04/05</c:v>
                </c:pt>
                <c:pt idx="10">
                  <c:v>05/06</c:v>
                </c:pt>
                <c:pt idx="11">
                  <c:v>06/07</c:v>
                </c:pt>
                <c:pt idx="12">
                  <c:v> 07/08</c:v>
                </c:pt>
                <c:pt idx="13">
                  <c:v>08/09</c:v>
                </c:pt>
                <c:pt idx="14">
                  <c:v>09/10</c:v>
                </c:pt>
                <c:pt idx="15">
                  <c:v>10/11</c:v>
                </c:pt>
                <c:pt idx="16">
                  <c:v>11/12</c:v>
                </c:pt>
                <c:pt idx="17">
                  <c:v>12/13</c:v>
                </c:pt>
                <c:pt idx="18">
                  <c:v>13/14</c:v>
                </c:pt>
                <c:pt idx="19">
                  <c:v>14/15</c:v>
                </c:pt>
                <c:pt idx="20">
                  <c:v>15/16</c:v>
                </c:pt>
                <c:pt idx="21">
                  <c:v>16/17</c:v>
                </c:pt>
                <c:pt idx="22">
                  <c:v>17/18</c:v>
                </c:pt>
                <c:pt idx="23">
                  <c:v>18/19</c:v>
                </c:pt>
              </c:strCache>
            </c:strRef>
          </c:cat>
          <c:val>
            <c:numRef>
              <c:f>'Calendar Yr import'!$D$11:$D$34</c:f>
              <c:numCache>
                <c:formatCode>#,##0</c:formatCode>
                <c:ptCount val="24"/>
                <c:pt idx="0">
                  <c:v>754000</c:v>
                </c:pt>
                <c:pt idx="1">
                  <c:v>797000</c:v>
                </c:pt>
                <c:pt idx="2">
                  <c:v>741000</c:v>
                </c:pt>
                <c:pt idx="3">
                  <c:v>745000</c:v>
                </c:pt>
                <c:pt idx="4">
                  <c:v>842000</c:v>
                </c:pt>
                <c:pt idx="5">
                  <c:v>892000</c:v>
                </c:pt>
                <c:pt idx="6">
                  <c:v>848000</c:v>
                </c:pt>
                <c:pt idx="7">
                  <c:v>1128000</c:v>
                </c:pt>
                <c:pt idx="8">
                  <c:v>1062000</c:v>
                </c:pt>
                <c:pt idx="9">
                  <c:v>1209000</c:v>
                </c:pt>
                <c:pt idx="10">
                  <c:v>1289000</c:v>
                </c:pt>
                <c:pt idx="11">
                  <c:v>1291451</c:v>
                </c:pt>
                <c:pt idx="12">
                  <c:v>1334442</c:v>
                </c:pt>
                <c:pt idx="13">
                  <c:v>1154345</c:v>
                </c:pt>
                <c:pt idx="14">
                  <c:v>1244398</c:v>
                </c:pt>
                <c:pt idx="15">
                  <c:v>1218086</c:v>
                </c:pt>
                <c:pt idx="16">
                  <c:v>1166712</c:v>
                </c:pt>
                <c:pt idx="17">
                  <c:v>1416413</c:v>
                </c:pt>
                <c:pt idx="18">
                  <c:v>1309008.8999999999</c:v>
                </c:pt>
                <c:pt idx="19">
                  <c:v>1419825</c:v>
                </c:pt>
                <c:pt idx="20">
                  <c:v>1282076.7</c:v>
                </c:pt>
                <c:pt idx="21">
                  <c:v>1177784</c:v>
                </c:pt>
                <c:pt idx="22">
                  <c:v>1278713</c:v>
                </c:pt>
                <c:pt idx="23">
                  <c:v>1132225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0A-42E4-A408-351A54B88D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6283183"/>
        <c:axId val="1"/>
      </c:lineChart>
      <c:catAx>
        <c:axId val="46628318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6283183"/>
        <c:crosses val="autoZero"/>
        <c:crossBetween val="between"/>
      </c:valAx>
      <c:spPr>
        <a:pattFill prst="ltDnDiag">
          <a:fgClr>
            <a:srgbClr val="D9D9D9"/>
          </a:fgClr>
          <a:bgClr>
            <a:srgbClr xmlns:mc="http://schemas.openxmlformats.org/markup-compatibility/2006" xmlns:a14="http://schemas.microsoft.com/office/drawing/2010/main" val="00FF00" mc:Ignorable="a14" a14:legacySpreadsheetColorIndex="11"/>
          </a:bgClr>
        </a:pattFill>
        <a:ln w="25400">
          <a:noFill/>
        </a:ln>
      </c:spPr>
    </c:plotArea>
    <c:plotVisOnly val="1"/>
    <c:dispBlanksAs val="zero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Annual Bicycle Imports - Calendar Year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2985392174589704E-2"/>
          <c:y val="0.143577002785789"/>
          <c:w val="0.88907085500265604"/>
          <c:h val="0.78589517314326796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ltUpDiag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cat>
            <c:numRef>
              <c:f>'Calendar Yr import'!$B$41:$B$62</c:f>
              <c:numCache>
                <c:formatCode>General</c:formatCode>
                <c:ptCount val="2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</c:numCache>
            </c:numRef>
          </c:cat>
          <c:val>
            <c:numRef>
              <c:f>'Calendar Yr import'!$G$41:$G$62</c:f>
              <c:numCache>
                <c:formatCode>#,##0</c:formatCode>
                <c:ptCount val="22"/>
                <c:pt idx="0">
                  <c:v>656630.80000000005</c:v>
                </c:pt>
                <c:pt idx="1">
                  <c:v>820794</c:v>
                </c:pt>
                <c:pt idx="2">
                  <c:v>926924.3</c:v>
                </c:pt>
                <c:pt idx="3">
                  <c:v>774937.8</c:v>
                </c:pt>
                <c:pt idx="4">
                  <c:v>1109735.5</c:v>
                </c:pt>
                <c:pt idx="5">
                  <c:v>1003844.3999999999</c:v>
                </c:pt>
                <c:pt idx="6">
                  <c:v>1247990.7</c:v>
                </c:pt>
                <c:pt idx="7">
                  <c:v>1168601</c:v>
                </c:pt>
                <c:pt idx="8">
                  <c:v>1199853.8160000001</c:v>
                </c:pt>
                <c:pt idx="9">
                  <c:v>1427738</c:v>
                </c:pt>
                <c:pt idx="10">
                  <c:v>1203648</c:v>
                </c:pt>
                <c:pt idx="11">
                  <c:v>1154122</c:v>
                </c:pt>
                <c:pt idx="12">
                  <c:v>1313446</c:v>
                </c:pt>
                <c:pt idx="13">
                  <c:v>1083516</c:v>
                </c:pt>
                <c:pt idx="14">
                  <c:v>1357593</c:v>
                </c:pt>
                <c:pt idx="15">
                  <c:v>1365864</c:v>
                </c:pt>
                <c:pt idx="16">
                  <c:v>1385665.9</c:v>
                </c:pt>
                <c:pt idx="17">
                  <c:v>1378575</c:v>
                </c:pt>
                <c:pt idx="18">
                  <c:v>1162408.7</c:v>
                </c:pt>
                <c:pt idx="19">
                  <c:v>1227196.8999999999</c:v>
                </c:pt>
                <c:pt idx="20">
                  <c:v>1176828</c:v>
                </c:pt>
                <c:pt idx="21">
                  <c:v>1179508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05-413C-AE8B-741D74B58D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66276783"/>
        <c:axId val="1"/>
      </c:barChart>
      <c:catAx>
        <c:axId val="466276783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627678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b="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tx1"/>
    </cs:fontRef>
    <cs:spPr>
      <a:pattFill prst="ltUp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>
      <cs:styleClr val="auto"/>
    </cs:effectRef>
    <cs:fontRef idx="minor">
      <a:schemeClr val="tx1"/>
    </cs:fontRef>
    <cs:spPr>
      <a:pattFill prst="ltUp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tx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solidFill>
        <a:schemeClr val="lt1"/>
      </a:solidFill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solidFill>
        <a:schemeClr val="lt1"/>
      </a:solidFill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4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5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7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4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chart" Target="../charts/chart10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chart" Target="../charts/chart12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chart" Target="../charts/chart13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81</xdr:row>
      <xdr:rowOff>152400</xdr:rowOff>
    </xdr:from>
    <xdr:to>
      <xdr:col>15</xdr:col>
      <xdr:colOff>0</xdr:colOff>
      <xdr:row>117</xdr:row>
      <xdr:rowOff>85725</xdr:rowOff>
    </xdr:to>
    <xdr:graphicFrame macro="">
      <xdr:nvGraphicFramePr>
        <xdr:cNvPr id="1043" name="Chart 2">
          <a:extLst>
            <a:ext uri="{FF2B5EF4-FFF2-40B4-BE49-F238E27FC236}">
              <a16:creationId xmlns:a16="http://schemas.microsoft.com/office/drawing/2014/main" id="{DA60BC73-4105-403D-9F71-A4A2D864D7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119</xdr:row>
      <xdr:rowOff>9525</xdr:rowOff>
    </xdr:from>
    <xdr:to>
      <xdr:col>15</xdr:col>
      <xdr:colOff>0</xdr:colOff>
      <xdr:row>155</xdr:row>
      <xdr:rowOff>28575</xdr:rowOff>
    </xdr:to>
    <xdr:graphicFrame macro="">
      <xdr:nvGraphicFramePr>
        <xdr:cNvPr id="1044" name="Chart 3">
          <a:extLst>
            <a:ext uri="{FF2B5EF4-FFF2-40B4-BE49-F238E27FC236}">
              <a16:creationId xmlns:a16="http://schemas.microsoft.com/office/drawing/2014/main" id="{BFE8D6BB-CFEB-48EC-B193-FBE4D54F96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117475</xdr:colOff>
      <xdr:row>75</xdr:row>
      <xdr:rowOff>1</xdr:rowOff>
    </xdr:from>
    <xdr:to>
      <xdr:col>1</xdr:col>
      <xdr:colOff>666759</xdr:colOff>
      <xdr:row>80</xdr:row>
      <xdr:rowOff>6431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C96CA576-236F-4656-BA74-A1C995D131C6}"/>
            </a:ext>
          </a:extLst>
        </xdr:cNvPr>
        <xdr:cNvSpPr txBox="1"/>
      </xdr:nvSpPr>
      <xdr:spPr>
        <a:xfrm>
          <a:off x="117475" y="12141201"/>
          <a:ext cx="2873384" cy="102243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 rtl="0">
            <a:lnSpc>
              <a:spcPts val="1200"/>
            </a:lnSpc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Please note: children's bicycle figure represents 70% of actual imports as presumption made that approximately 30% of children's bicycles are strictly toys.</a:t>
          </a:r>
        </a:p>
      </xdr:txBody>
    </xdr:sp>
    <xdr:clientData/>
  </xdr:twoCellAnchor>
  <xdr:oneCellAnchor>
    <xdr:from>
      <xdr:col>0</xdr:col>
      <xdr:colOff>9525</xdr:colOff>
      <xdr:row>0</xdr:row>
      <xdr:rowOff>0</xdr:rowOff>
    </xdr:from>
    <xdr:ext cx="2211694" cy="1371918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2F53F5B3-28D1-4F1D-AD71-2DA2CDBD3777}"/>
            </a:ext>
          </a:extLst>
        </xdr:cNvPr>
        <xdr:cNvSpPr txBox="1"/>
      </xdr:nvSpPr>
      <xdr:spPr>
        <a:xfrm>
          <a:off x="9525" y="0"/>
          <a:ext cx="2219325" cy="1381125"/>
        </a:xfrm>
        <a:prstGeom prst="rect">
          <a:avLst/>
        </a:prstGeom>
        <a:solidFill>
          <a:schemeClr val="lt1"/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Calibri"/>
            <a:ea typeface="Calibri"/>
            <a:cs typeface="Calibri"/>
          </a:endParaRP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Calibri"/>
            <a:ea typeface="Calibri"/>
            <a:cs typeface="Calibri"/>
          </a:endParaRP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Calibri"/>
            <a:ea typeface="Calibri"/>
            <a:cs typeface="Calibri"/>
          </a:endParaRP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Calibri"/>
            <a:ea typeface="Calibri"/>
            <a:cs typeface="Calibri"/>
          </a:endParaRP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Calibri"/>
            <a:ea typeface="Calibri"/>
            <a:cs typeface="Calibri"/>
          </a:endParaRP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Calibri"/>
            <a:ea typeface="Calibri"/>
            <a:cs typeface="Calibri"/>
          </a:endParaRP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Calibri"/>
            <a:ea typeface="Calibri"/>
            <a:cs typeface="Calibri"/>
          </a:endParaRP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Calibri"/>
            <a:ea typeface="Calibri"/>
            <a:cs typeface="Calibri"/>
          </a:endParaRP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office@bikeoz.com.au | www.bikeoz.com.au</a:t>
          </a: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oneCellAnchor>
  <xdr:twoCellAnchor>
    <xdr:from>
      <xdr:col>0</xdr:col>
      <xdr:colOff>152400</xdr:colOff>
      <xdr:row>156</xdr:row>
      <xdr:rowOff>142875</xdr:rowOff>
    </xdr:from>
    <xdr:to>
      <xdr:col>15</xdr:col>
      <xdr:colOff>0</xdr:colOff>
      <xdr:row>191</xdr:row>
      <xdr:rowOff>152400</xdr:rowOff>
    </xdr:to>
    <xdr:graphicFrame macro="">
      <xdr:nvGraphicFramePr>
        <xdr:cNvPr id="1047" name="Chart 10">
          <a:extLst>
            <a:ext uri="{FF2B5EF4-FFF2-40B4-BE49-F238E27FC236}">
              <a16:creationId xmlns:a16="http://schemas.microsoft.com/office/drawing/2014/main" id="{5AC7A3A6-CB48-4ED2-89A4-B4799904D2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714375</xdr:colOff>
      <xdr:row>0</xdr:row>
      <xdr:rowOff>85725</xdr:rowOff>
    </xdr:from>
    <xdr:to>
      <xdr:col>0</xdr:col>
      <xdr:colOff>1590675</xdr:colOff>
      <xdr:row>5</xdr:row>
      <xdr:rowOff>104775</xdr:rowOff>
    </xdr:to>
    <xdr:pic>
      <xdr:nvPicPr>
        <xdr:cNvPr id="1048" name="Picture 7">
          <a:extLst>
            <a:ext uri="{FF2B5EF4-FFF2-40B4-BE49-F238E27FC236}">
              <a16:creationId xmlns:a16="http://schemas.microsoft.com/office/drawing/2014/main" id="{8EA8D5BE-BE33-49F4-9AE3-288244F91C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85725"/>
          <a:ext cx="8763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174625</xdr:rowOff>
    </xdr:from>
    <xdr:to>
      <xdr:col>3</xdr:col>
      <xdr:colOff>485727</xdr:colOff>
      <xdr:row>7</xdr:row>
      <xdr:rowOff>171450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E469DAE-DFF4-498F-A7B8-2239EDA7FC17}"/>
            </a:ext>
          </a:extLst>
        </xdr:cNvPr>
        <xdr:cNvSpPr txBox="1"/>
      </xdr:nvSpPr>
      <xdr:spPr>
        <a:xfrm>
          <a:off x="0" y="1063625"/>
          <a:ext cx="2200227" cy="3524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bia@bikeoz.com.au | www.bikeoz.com.au</a:t>
          </a: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4</xdr:col>
      <xdr:colOff>114300</xdr:colOff>
      <xdr:row>2</xdr:row>
      <xdr:rowOff>165100</xdr:rowOff>
    </xdr:from>
    <xdr:to>
      <xdr:col>11</xdr:col>
      <xdr:colOff>139700</xdr:colOff>
      <xdr:row>5</xdr:row>
      <xdr:rowOff>63500</xdr:rowOff>
    </xdr:to>
    <xdr:sp macro="" textlink="">
      <xdr:nvSpPr>
        <xdr:cNvPr id="3" name="TextBox 4">
          <a:extLst>
            <a:ext uri="{FF2B5EF4-FFF2-40B4-BE49-F238E27FC236}">
              <a16:creationId xmlns:a16="http://schemas.microsoft.com/office/drawing/2014/main" id="{9D59F56B-4566-4EE4-BC61-113D9D78E26B}"/>
            </a:ext>
          </a:extLst>
        </xdr:cNvPr>
        <xdr:cNvSpPr txBox="1">
          <a:spLocks noChangeArrowheads="1"/>
        </xdr:cNvSpPr>
      </xdr:nvSpPr>
      <xdr:spPr bwMode="auto">
        <a:xfrm>
          <a:off x="2743200" y="520700"/>
          <a:ext cx="5016500" cy="4318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Quarterly Imports value</a:t>
          </a:r>
        </a:p>
      </xdr:txBody>
    </xdr:sp>
    <xdr:clientData/>
  </xdr:twoCellAnchor>
  <xdr:twoCellAnchor editAs="oneCell">
    <xdr:from>
      <xdr:col>0</xdr:col>
      <xdr:colOff>504825</xdr:colOff>
      <xdr:row>0</xdr:row>
      <xdr:rowOff>0</xdr:rowOff>
    </xdr:from>
    <xdr:to>
      <xdr:col>2</xdr:col>
      <xdr:colOff>409575</xdr:colOff>
      <xdr:row>5</xdr:row>
      <xdr:rowOff>114300</xdr:rowOff>
    </xdr:to>
    <xdr:pic>
      <xdr:nvPicPr>
        <xdr:cNvPr id="10252" name="Picture 5">
          <a:extLst>
            <a:ext uri="{FF2B5EF4-FFF2-40B4-BE49-F238E27FC236}">
              <a16:creationId xmlns:a16="http://schemas.microsoft.com/office/drawing/2014/main" id="{2938F3E1-ADA0-4A8D-AC95-9F9A2A499D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0"/>
          <a:ext cx="93345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73025</xdr:rowOff>
    </xdr:from>
    <xdr:to>
      <xdr:col>3</xdr:col>
      <xdr:colOff>396827</xdr:colOff>
      <xdr:row>8</xdr:row>
      <xdr:rowOff>95250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D4025AE-5C3D-4AB9-935D-294FFC188B54}"/>
            </a:ext>
          </a:extLst>
        </xdr:cNvPr>
        <xdr:cNvSpPr txBox="1"/>
      </xdr:nvSpPr>
      <xdr:spPr>
        <a:xfrm>
          <a:off x="0" y="1063625"/>
          <a:ext cx="2200227" cy="3524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Tel: (03) 9533 3170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bia@bikeoz.com.au | www.bikeoz.com.au</a:t>
          </a: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4</xdr:col>
      <xdr:colOff>139700</xdr:colOff>
      <xdr:row>3</xdr:row>
      <xdr:rowOff>25400</xdr:rowOff>
    </xdr:from>
    <xdr:to>
      <xdr:col>10</xdr:col>
      <xdr:colOff>393700</xdr:colOff>
      <xdr:row>5</xdr:row>
      <xdr:rowOff>127000</xdr:rowOff>
    </xdr:to>
    <xdr:sp macro="" textlink="">
      <xdr:nvSpPr>
        <xdr:cNvPr id="3" name="TextBox 4">
          <a:extLst>
            <a:ext uri="{FF2B5EF4-FFF2-40B4-BE49-F238E27FC236}">
              <a16:creationId xmlns:a16="http://schemas.microsoft.com/office/drawing/2014/main" id="{83989101-8117-498D-8056-B860DA7C36BC}"/>
            </a:ext>
          </a:extLst>
        </xdr:cNvPr>
        <xdr:cNvSpPr txBox="1">
          <a:spLocks noChangeArrowheads="1"/>
        </xdr:cNvSpPr>
      </xdr:nvSpPr>
      <xdr:spPr bwMode="auto">
        <a:xfrm>
          <a:off x="2743200" y="520700"/>
          <a:ext cx="5016500" cy="4318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Import value by month</a:t>
          </a:r>
        </a:p>
        <a:p>
          <a:pPr algn="l" rtl="0">
            <a:lnSpc>
              <a:spcPts val="2000"/>
            </a:lnSpc>
            <a:defRPr sz="1000"/>
          </a:pPr>
          <a:endParaRPr lang="en-US" sz="1800" b="1" i="0" u="none" strike="noStrike" baseline="0">
            <a:solidFill>
              <a:srgbClr val="000000"/>
            </a:solidFill>
            <a:latin typeface="Calibri"/>
            <a:ea typeface="Calibri"/>
            <a:cs typeface="Calibri"/>
          </a:endParaRPr>
        </a:p>
        <a:p>
          <a:pPr algn="l" rtl="0">
            <a:defRPr sz="1000"/>
          </a:pPr>
          <a:endParaRPr lang="en-US" sz="1800" b="1" i="0" u="none" strike="noStrike" baseline="0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 editAs="oneCell">
    <xdr:from>
      <xdr:col>0</xdr:col>
      <xdr:colOff>504825</xdr:colOff>
      <xdr:row>0</xdr:row>
      <xdr:rowOff>0</xdr:rowOff>
    </xdr:from>
    <xdr:to>
      <xdr:col>2</xdr:col>
      <xdr:colOff>247650</xdr:colOff>
      <xdr:row>6</xdr:row>
      <xdr:rowOff>28575</xdr:rowOff>
    </xdr:to>
    <xdr:pic>
      <xdr:nvPicPr>
        <xdr:cNvPr id="11276" name="Picture 5">
          <a:extLst>
            <a:ext uri="{FF2B5EF4-FFF2-40B4-BE49-F238E27FC236}">
              <a16:creationId xmlns:a16="http://schemas.microsoft.com/office/drawing/2014/main" id="{496D1769-D294-455B-B7CD-A82D5CA8F2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0"/>
          <a:ext cx="8382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149225</xdr:rowOff>
    </xdr:from>
    <xdr:to>
      <xdr:col>4</xdr:col>
      <xdr:colOff>15827</xdr:colOff>
      <xdr:row>9</xdr:row>
      <xdr:rowOff>44450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0F48F57-5DFE-4A7E-B447-848C8BDB8FF7}"/>
            </a:ext>
          </a:extLst>
        </xdr:cNvPr>
        <xdr:cNvSpPr txBox="1"/>
      </xdr:nvSpPr>
      <xdr:spPr>
        <a:xfrm>
          <a:off x="0" y="1063625"/>
          <a:ext cx="2200227" cy="3524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 rtl="0">
            <a:lnSpc>
              <a:spcPts val="800"/>
            </a:lnSpc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bia@bikeoz.com.au | www.bikeoz.com.au</a:t>
          </a: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5</xdr:col>
      <xdr:colOff>12700</xdr:colOff>
      <xdr:row>3</xdr:row>
      <xdr:rowOff>63500</xdr:rowOff>
    </xdr:from>
    <xdr:to>
      <xdr:col>13</xdr:col>
      <xdr:colOff>533400</xdr:colOff>
      <xdr:row>6</xdr:row>
      <xdr:rowOff>38100</xdr:rowOff>
    </xdr:to>
    <xdr:sp macro="" textlink="">
      <xdr:nvSpPr>
        <xdr:cNvPr id="3" name="TextBox 4">
          <a:extLst>
            <a:ext uri="{FF2B5EF4-FFF2-40B4-BE49-F238E27FC236}">
              <a16:creationId xmlns:a16="http://schemas.microsoft.com/office/drawing/2014/main" id="{3E70C79B-EE73-4FA8-9636-F57EBCC6ECD5}"/>
            </a:ext>
          </a:extLst>
        </xdr:cNvPr>
        <xdr:cNvSpPr txBox="1">
          <a:spLocks noChangeArrowheads="1"/>
        </xdr:cNvSpPr>
      </xdr:nvSpPr>
      <xdr:spPr bwMode="auto">
        <a:xfrm>
          <a:off x="2743200" y="520700"/>
          <a:ext cx="5016500" cy="4318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Bicycle inner tube - imports</a:t>
          </a:r>
        </a:p>
      </xdr:txBody>
    </xdr:sp>
    <xdr:clientData/>
  </xdr:twoCellAnchor>
  <xdr:twoCellAnchor editAs="oneCell">
    <xdr:from>
      <xdr:col>0</xdr:col>
      <xdr:colOff>504825</xdr:colOff>
      <xdr:row>0</xdr:row>
      <xdr:rowOff>0</xdr:rowOff>
    </xdr:from>
    <xdr:to>
      <xdr:col>2</xdr:col>
      <xdr:colOff>419100</xdr:colOff>
      <xdr:row>6</xdr:row>
      <xdr:rowOff>95250</xdr:rowOff>
    </xdr:to>
    <xdr:pic>
      <xdr:nvPicPr>
        <xdr:cNvPr id="12300" name="Picture 5">
          <a:extLst>
            <a:ext uri="{FF2B5EF4-FFF2-40B4-BE49-F238E27FC236}">
              <a16:creationId xmlns:a16="http://schemas.microsoft.com/office/drawing/2014/main" id="{384DA8DF-F198-4FEA-A823-53A0273828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0"/>
          <a:ext cx="89535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149225</xdr:rowOff>
    </xdr:from>
    <xdr:to>
      <xdr:col>3</xdr:col>
      <xdr:colOff>231727</xdr:colOff>
      <xdr:row>9</xdr:row>
      <xdr:rowOff>44450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EA982E3-9C67-4106-8BC0-C5DB8B33B41B}"/>
            </a:ext>
          </a:extLst>
        </xdr:cNvPr>
        <xdr:cNvSpPr txBox="1"/>
      </xdr:nvSpPr>
      <xdr:spPr>
        <a:xfrm>
          <a:off x="0" y="1063625"/>
          <a:ext cx="2200227" cy="3524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bia@bikeoz.com.au | www.bikeoz.com.au</a:t>
          </a: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4</xdr:col>
      <xdr:colOff>127000</xdr:colOff>
      <xdr:row>3</xdr:row>
      <xdr:rowOff>63500</xdr:rowOff>
    </xdr:from>
    <xdr:to>
      <xdr:col>11</xdr:col>
      <xdr:colOff>609600</xdr:colOff>
      <xdr:row>6</xdr:row>
      <xdr:rowOff>38100</xdr:rowOff>
    </xdr:to>
    <xdr:sp macro="" textlink="">
      <xdr:nvSpPr>
        <xdr:cNvPr id="3" name="TextBox 4">
          <a:extLst>
            <a:ext uri="{FF2B5EF4-FFF2-40B4-BE49-F238E27FC236}">
              <a16:creationId xmlns:a16="http://schemas.microsoft.com/office/drawing/2014/main" id="{E4001DD6-9C2E-499B-B985-A2448BC29BF3}"/>
            </a:ext>
          </a:extLst>
        </xdr:cNvPr>
        <xdr:cNvSpPr txBox="1">
          <a:spLocks noChangeArrowheads="1"/>
        </xdr:cNvSpPr>
      </xdr:nvSpPr>
      <xdr:spPr bwMode="auto">
        <a:xfrm>
          <a:off x="2743200" y="520700"/>
          <a:ext cx="5016500" cy="4318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Bicycle tyres monthly imports</a:t>
          </a:r>
        </a:p>
      </xdr:txBody>
    </xdr:sp>
    <xdr:clientData/>
  </xdr:twoCellAnchor>
  <xdr:twoCellAnchor editAs="oneCell">
    <xdr:from>
      <xdr:col>0</xdr:col>
      <xdr:colOff>504825</xdr:colOff>
      <xdr:row>0</xdr:row>
      <xdr:rowOff>0</xdr:rowOff>
    </xdr:from>
    <xdr:to>
      <xdr:col>2</xdr:col>
      <xdr:colOff>190500</xdr:colOff>
      <xdr:row>6</xdr:row>
      <xdr:rowOff>95250</xdr:rowOff>
    </xdr:to>
    <xdr:pic>
      <xdr:nvPicPr>
        <xdr:cNvPr id="13324" name="Picture 5">
          <a:extLst>
            <a:ext uri="{FF2B5EF4-FFF2-40B4-BE49-F238E27FC236}">
              <a16:creationId xmlns:a16="http://schemas.microsoft.com/office/drawing/2014/main" id="{2E396F59-3D55-4167-9BD0-3A54B0B095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0"/>
          <a:ext cx="838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73025</xdr:rowOff>
    </xdr:from>
    <xdr:to>
      <xdr:col>3</xdr:col>
      <xdr:colOff>358727</xdr:colOff>
      <xdr:row>8</xdr:row>
      <xdr:rowOff>95250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31879D3-9398-4754-987D-1AFFD2BC079E}"/>
            </a:ext>
          </a:extLst>
        </xdr:cNvPr>
        <xdr:cNvSpPr txBox="1"/>
      </xdr:nvSpPr>
      <xdr:spPr>
        <a:xfrm>
          <a:off x="0" y="1063625"/>
          <a:ext cx="2200227" cy="3524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Tel: (03) 9533 3170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bia@bikeoz.com.au | www.bikeoz.com.au</a:t>
          </a: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4</xdr:col>
      <xdr:colOff>330200</xdr:colOff>
      <xdr:row>3</xdr:row>
      <xdr:rowOff>25400</xdr:rowOff>
    </xdr:from>
    <xdr:to>
      <xdr:col>13</xdr:col>
      <xdr:colOff>12700</xdr:colOff>
      <xdr:row>5</xdr:row>
      <xdr:rowOff>127000</xdr:rowOff>
    </xdr:to>
    <xdr:sp macro="" textlink="">
      <xdr:nvSpPr>
        <xdr:cNvPr id="3" name="TextBox 4">
          <a:extLst>
            <a:ext uri="{FF2B5EF4-FFF2-40B4-BE49-F238E27FC236}">
              <a16:creationId xmlns:a16="http://schemas.microsoft.com/office/drawing/2014/main" id="{4BBE4651-D358-4203-8C89-E1C185CF974F}"/>
            </a:ext>
          </a:extLst>
        </xdr:cNvPr>
        <xdr:cNvSpPr txBox="1">
          <a:spLocks noChangeArrowheads="1"/>
        </xdr:cNvSpPr>
      </xdr:nvSpPr>
      <xdr:spPr bwMode="auto">
        <a:xfrm>
          <a:off x="2743200" y="520700"/>
          <a:ext cx="5016500" cy="4318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Bicycle light monthly imports</a:t>
          </a:r>
        </a:p>
      </xdr:txBody>
    </xdr:sp>
    <xdr:clientData/>
  </xdr:twoCellAnchor>
  <xdr:twoCellAnchor editAs="oneCell">
    <xdr:from>
      <xdr:col>0</xdr:col>
      <xdr:colOff>504825</xdr:colOff>
      <xdr:row>0</xdr:row>
      <xdr:rowOff>0</xdr:rowOff>
    </xdr:from>
    <xdr:to>
      <xdr:col>2</xdr:col>
      <xdr:colOff>266700</xdr:colOff>
      <xdr:row>6</xdr:row>
      <xdr:rowOff>19050</xdr:rowOff>
    </xdr:to>
    <xdr:pic>
      <xdr:nvPicPr>
        <xdr:cNvPr id="14348" name="Picture 5">
          <a:extLst>
            <a:ext uri="{FF2B5EF4-FFF2-40B4-BE49-F238E27FC236}">
              <a16:creationId xmlns:a16="http://schemas.microsoft.com/office/drawing/2014/main" id="{825D9E86-53DF-41C4-9235-D601F66D84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0"/>
          <a:ext cx="847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7</xdr:row>
      <xdr:rowOff>73025</xdr:rowOff>
    </xdr:from>
    <xdr:to>
      <xdr:col>3</xdr:col>
      <xdr:colOff>142827</xdr:colOff>
      <xdr:row>10</xdr:row>
      <xdr:rowOff>6350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067D729-8DC7-49AD-9622-E23F89350546}"/>
            </a:ext>
          </a:extLst>
        </xdr:cNvPr>
        <xdr:cNvSpPr txBox="1"/>
      </xdr:nvSpPr>
      <xdr:spPr>
        <a:xfrm>
          <a:off x="12700" y="1050925"/>
          <a:ext cx="2200227" cy="3524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Tel: (03) 9533 3170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bia@bikeoz.com.au | www.bikeoz.com.au</a:t>
          </a: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4</xdr:col>
      <xdr:colOff>50800</xdr:colOff>
      <xdr:row>3</xdr:row>
      <xdr:rowOff>101600</xdr:rowOff>
    </xdr:from>
    <xdr:to>
      <xdr:col>11</xdr:col>
      <xdr:colOff>558800</xdr:colOff>
      <xdr:row>10</xdr:row>
      <xdr:rowOff>0</xdr:rowOff>
    </xdr:to>
    <xdr:sp macro="" textlink="">
      <xdr:nvSpPr>
        <xdr:cNvPr id="3" name="TextBox 4">
          <a:extLst>
            <a:ext uri="{FF2B5EF4-FFF2-40B4-BE49-F238E27FC236}">
              <a16:creationId xmlns:a16="http://schemas.microsoft.com/office/drawing/2014/main" id="{A5E3C325-6F66-4B98-B259-857DDD336151}"/>
            </a:ext>
          </a:extLst>
        </xdr:cNvPr>
        <xdr:cNvSpPr txBox="1">
          <a:spLocks noChangeArrowheads="1"/>
        </xdr:cNvSpPr>
      </xdr:nvSpPr>
      <xdr:spPr bwMode="auto">
        <a:xfrm>
          <a:off x="2743200" y="520700"/>
          <a:ext cx="5016500" cy="8763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Bicycle frame imports</a:t>
          </a:r>
        </a:p>
      </xdr:txBody>
    </xdr:sp>
    <xdr:clientData/>
  </xdr:twoCellAnchor>
  <xdr:twoCellAnchor editAs="oneCell">
    <xdr:from>
      <xdr:col>0</xdr:col>
      <xdr:colOff>504825</xdr:colOff>
      <xdr:row>0</xdr:row>
      <xdr:rowOff>0</xdr:rowOff>
    </xdr:from>
    <xdr:to>
      <xdr:col>1</xdr:col>
      <xdr:colOff>609600</xdr:colOff>
      <xdr:row>7</xdr:row>
      <xdr:rowOff>19050</xdr:rowOff>
    </xdr:to>
    <xdr:pic>
      <xdr:nvPicPr>
        <xdr:cNvPr id="15372" name="Picture 5">
          <a:extLst>
            <a:ext uri="{FF2B5EF4-FFF2-40B4-BE49-F238E27FC236}">
              <a16:creationId xmlns:a16="http://schemas.microsoft.com/office/drawing/2014/main" id="{07549088-3C88-4B78-8CC5-18070CD9C7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0"/>
          <a:ext cx="82867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73025</xdr:rowOff>
    </xdr:from>
    <xdr:to>
      <xdr:col>4</xdr:col>
      <xdr:colOff>15827</xdr:colOff>
      <xdr:row>8</xdr:row>
      <xdr:rowOff>95250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CAD8E81-11A7-4395-A743-761F15C3FBF4}"/>
            </a:ext>
          </a:extLst>
        </xdr:cNvPr>
        <xdr:cNvSpPr txBox="1"/>
      </xdr:nvSpPr>
      <xdr:spPr>
        <a:xfrm>
          <a:off x="0" y="1063625"/>
          <a:ext cx="2200227" cy="3524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 rtl="0">
            <a:lnSpc>
              <a:spcPts val="900"/>
            </a:lnSpc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Tel: (03) 9533 3170</a:t>
          </a:r>
        </a:p>
        <a:p>
          <a:pPr algn="l" rtl="0">
            <a:lnSpc>
              <a:spcPts val="800"/>
            </a:lnSpc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bia@bikeoz.com.au | www.bikeoz.com.au</a:t>
          </a:r>
        </a:p>
        <a:p>
          <a:pPr algn="l" rtl="0">
            <a:lnSpc>
              <a:spcPts val="900"/>
            </a:lnSpc>
            <a:defRPr sz="1000"/>
          </a:pPr>
          <a:endParaRPr lang="en-US" sz="800" b="0" i="0" u="none" strike="noStrike" baseline="0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5</xdr:col>
      <xdr:colOff>12700</xdr:colOff>
      <xdr:row>3</xdr:row>
      <xdr:rowOff>25400</xdr:rowOff>
    </xdr:from>
    <xdr:to>
      <xdr:col>13</xdr:col>
      <xdr:colOff>660400</xdr:colOff>
      <xdr:row>5</xdr:row>
      <xdr:rowOff>127000</xdr:rowOff>
    </xdr:to>
    <xdr:sp macro="" textlink="">
      <xdr:nvSpPr>
        <xdr:cNvPr id="3" name="TextBox 4">
          <a:extLst>
            <a:ext uri="{FF2B5EF4-FFF2-40B4-BE49-F238E27FC236}">
              <a16:creationId xmlns:a16="http://schemas.microsoft.com/office/drawing/2014/main" id="{097ABD2C-2E46-474F-ADEE-E54D3CDAF224}"/>
            </a:ext>
          </a:extLst>
        </xdr:cNvPr>
        <xdr:cNvSpPr txBox="1">
          <a:spLocks noChangeArrowheads="1"/>
        </xdr:cNvSpPr>
      </xdr:nvSpPr>
      <xdr:spPr bwMode="auto">
        <a:xfrm>
          <a:off x="2743200" y="520700"/>
          <a:ext cx="5016500" cy="4318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Bicycle forks monthly imports</a:t>
          </a:r>
        </a:p>
      </xdr:txBody>
    </xdr:sp>
    <xdr:clientData/>
  </xdr:twoCellAnchor>
  <xdr:twoCellAnchor editAs="oneCell">
    <xdr:from>
      <xdr:col>0</xdr:col>
      <xdr:colOff>504825</xdr:colOff>
      <xdr:row>0</xdr:row>
      <xdr:rowOff>0</xdr:rowOff>
    </xdr:from>
    <xdr:to>
      <xdr:col>2</xdr:col>
      <xdr:colOff>419100</xdr:colOff>
      <xdr:row>6</xdr:row>
      <xdr:rowOff>19050</xdr:rowOff>
    </xdr:to>
    <xdr:pic>
      <xdr:nvPicPr>
        <xdr:cNvPr id="16396" name="Picture 5">
          <a:extLst>
            <a:ext uri="{FF2B5EF4-FFF2-40B4-BE49-F238E27FC236}">
              <a16:creationId xmlns:a16="http://schemas.microsoft.com/office/drawing/2014/main" id="{93C15FE5-299E-4188-A3D9-EF5C7AB31A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0"/>
          <a:ext cx="89535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73025</xdr:rowOff>
    </xdr:from>
    <xdr:to>
      <xdr:col>3</xdr:col>
      <xdr:colOff>333327</xdr:colOff>
      <xdr:row>8</xdr:row>
      <xdr:rowOff>95250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A34F87D-C08A-49FA-9DE1-642C29F78BD8}"/>
            </a:ext>
          </a:extLst>
        </xdr:cNvPr>
        <xdr:cNvSpPr txBox="1"/>
      </xdr:nvSpPr>
      <xdr:spPr>
        <a:xfrm>
          <a:off x="0" y="1063625"/>
          <a:ext cx="2200227" cy="3524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Tel: (03) 9533 3170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bia@bikeoz.com.au | www.bikeoz.com.au</a:t>
          </a: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4</xdr:col>
      <xdr:colOff>254000</xdr:colOff>
      <xdr:row>3</xdr:row>
      <xdr:rowOff>25400</xdr:rowOff>
    </xdr:from>
    <xdr:to>
      <xdr:col>12</xdr:col>
      <xdr:colOff>139700</xdr:colOff>
      <xdr:row>5</xdr:row>
      <xdr:rowOff>127000</xdr:rowOff>
    </xdr:to>
    <xdr:sp macro="" textlink="">
      <xdr:nvSpPr>
        <xdr:cNvPr id="3" name="TextBox 4">
          <a:extLst>
            <a:ext uri="{FF2B5EF4-FFF2-40B4-BE49-F238E27FC236}">
              <a16:creationId xmlns:a16="http://schemas.microsoft.com/office/drawing/2014/main" id="{06FB83DE-B5DC-4534-A341-F2D35DA91DE7}"/>
            </a:ext>
          </a:extLst>
        </xdr:cNvPr>
        <xdr:cNvSpPr txBox="1">
          <a:spLocks noChangeArrowheads="1"/>
        </xdr:cNvSpPr>
      </xdr:nvSpPr>
      <xdr:spPr bwMode="auto">
        <a:xfrm>
          <a:off x="2743200" y="520700"/>
          <a:ext cx="5016500" cy="4318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Bicycle wheel rims monthly imports</a:t>
          </a:r>
        </a:p>
      </xdr:txBody>
    </xdr:sp>
    <xdr:clientData/>
  </xdr:twoCellAnchor>
  <xdr:twoCellAnchor editAs="oneCell">
    <xdr:from>
      <xdr:col>0</xdr:col>
      <xdr:colOff>504825</xdr:colOff>
      <xdr:row>0</xdr:row>
      <xdr:rowOff>0</xdr:rowOff>
    </xdr:from>
    <xdr:to>
      <xdr:col>2</xdr:col>
      <xdr:colOff>228600</xdr:colOff>
      <xdr:row>6</xdr:row>
      <xdr:rowOff>28575</xdr:rowOff>
    </xdr:to>
    <xdr:pic>
      <xdr:nvPicPr>
        <xdr:cNvPr id="17420" name="Picture 5">
          <a:extLst>
            <a:ext uri="{FF2B5EF4-FFF2-40B4-BE49-F238E27FC236}">
              <a16:creationId xmlns:a16="http://schemas.microsoft.com/office/drawing/2014/main" id="{B7AB5622-9CF0-44B1-8F65-D7A110A0EF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0"/>
          <a:ext cx="84772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149225</xdr:rowOff>
    </xdr:from>
    <xdr:to>
      <xdr:col>3</xdr:col>
      <xdr:colOff>130127</xdr:colOff>
      <xdr:row>9</xdr:row>
      <xdr:rowOff>44450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9613761-9DCF-487E-8A48-59244694902F}"/>
            </a:ext>
          </a:extLst>
        </xdr:cNvPr>
        <xdr:cNvSpPr txBox="1"/>
      </xdr:nvSpPr>
      <xdr:spPr>
        <a:xfrm>
          <a:off x="0" y="1063625"/>
          <a:ext cx="2200227" cy="3524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Tel: (03) 9533 3170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bia@bikeoz.com.au | www.bikeoz.com.au</a:t>
          </a: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4</xdr:col>
      <xdr:colOff>50800</xdr:colOff>
      <xdr:row>3</xdr:row>
      <xdr:rowOff>63500</xdr:rowOff>
    </xdr:from>
    <xdr:to>
      <xdr:col>12</xdr:col>
      <xdr:colOff>88900</xdr:colOff>
      <xdr:row>6</xdr:row>
      <xdr:rowOff>38100</xdr:rowOff>
    </xdr:to>
    <xdr:sp macro="" textlink="">
      <xdr:nvSpPr>
        <xdr:cNvPr id="3" name="TextBox 4">
          <a:extLst>
            <a:ext uri="{FF2B5EF4-FFF2-40B4-BE49-F238E27FC236}">
              <a16:creationId xmlns:a16="http://schemas.microsoft.com/office/drawing/2014/main" id="{452A11CC-7C8C-4657-873E-52488305740C}"/>
            </a:ext>
          </a:extLst>
        </xdr:cNvPr>
        <xdr:cNvSpPr txBox="1">
          <a:spLocks noChangeArrowheads="1"/>
        </xdr:cNvSpPr>
      </xdr:nvSpPr>
      <xdr:spPr bwMode="auto">
        <a:xfrm>
          <a:off x="2743200" y="520700"/>
          <a:ext cx="5016500" cy="4318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Bicycle saddles monthly imports</a:t>
          </a:r>
        </a:p>
      </xdr:txBody>
    </xdr:sp>
    <xdr:clientData/>
  </xdr:twoCellAnchor>
  <xdr:twoCellAnchor editAs="oneCell">
    <xdr:from>
      <xdr:col>0</xdr:col>
      <xdr:colOff>504825</xdr:colOff>
      <xdr:row>0</xdr:row>
      <xdr:rowOff>0</xdr:rowOff>
    </xdr:from>
    <xdr:to>
      <xdr:col>2</xdr:col>
      <xdr:colOff>66675</xdr:colOff>
      <xdr:row>6</xdr:row>
      <xdr:rowOff>95250</xdr:rowOff>
    </xdr:to>
    <xdr:pic>
      <xdr:nvPicPr>
        <xdr:cNvPr id="18444" name="Picture 5">
          <a:extLst>
            <a:ext uri="{FF2B5EF4-FFF2-40B4-BE49-F238E27FC236}">
              <a16:creationId xmlns:a16="http://schemas.microsoft.com/office/drawing/2014/main" id="{1F8691B9-A886-42D6-9E3B-91CCF9B465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0"/>
          <a:ext cx="82867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73025</xdr:rowOff>
    </xdr:from>
    <xdr:to>
      <xdr:col>3</xdr:col>
      <xdr:colOff>333327</xdr:colOff>
      <xdr:row>8</xdr:row>
      <xdr:rowOff>95250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88DC4EB-0CE6-4B91-A642-0A07AA91A5DC}"/>
            </a:ext>
          </a:extLst>
        </xdr:cNvPr>
        <xdr:cNvSpPr txBox="1"/>
      </xdr:nvSpPr>
      <xdr:spPr>
        <a:xfrm>
          <a:off x="0" y="1063625"/>
          <a:ext cx="2200227" cy="3524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bia@bikeoz.com.au | www.bikeoz.com.au</a:t>
          </a: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4</xdr:col>
      <xdr:colOff>254000</xdr:colOff>
      <xdr:row>3</xdr:row>
      <xdr:rowOff>25400</xdr:rowOff>
    </xdr:from>
    <xdr:to>
      <xdr:col>12</xdr:col>
      <xdr:colOff>381000</xdr:colOff>
      <xdr:row>5</xdr:row>
      <xdr:rowOff>127000</xdr:rowOff>
    </xdr:to>
    <xdr:sp macro="" textlink="">
      <xdr:nvSpPr>
        <xdr:cNvPr id="3" name="TextBox 4">
          <a:extLst>
            <a:ext uri="{FF2B5EF4-FFF2-40B4-BE49-F238E27FC236}">
              <a16:creationId xmlns:a16="http://schemas.microsoft.com/office/drawing/2014/main" id="{B07FA639-4F32-4342-B312-0C2511462ED7}"/>
            </a:ext>
          </a:extLst>
        </xdr:cNvPr>
        <xdr:cNvSpPr txBox="1">
          <a:spLocks noChangeArrowheads="1"/>
        </xdr:cNvSpPr>
      </xdr:nvSpPr>
      <xdr:spPr bwMode="auto">
        <a:xfrm>
          <a:off x="2743200" y="520700"/>
          <a:ext cx="5016500" cy="4318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Bicycle pedal and crank monthly imports</a:t>
          </a:r>
        </a:p>
      </xdr:txBody>
    </xdr:sp>
    <xdr:clientData/>
  </xdr:twoCellAnchor>
  <xdr:twoCellAnchor editAs="oneCell">
    <xdr:from>
      <xdr:col>0</xdr:col>
      <xdr:colOff>504825</xdr:colOff>
      <xdr:row>0</xdr:row>
      <xdr:rowOff>0</xdr:rowOff>
    </xdr:from>
    <xdr:to>
      <xdr:col>2</xdr:col>
      <xdr:colOff>219075</xdr:colOff>
      <xdr:row>6</xdr:row>
      <xdr:rowOff>28575</xdr:rowOff>
    </xdr:to>
    <xdr:pic>
      <xdr:nvPicPr>
        <xdr:cNvPr id="19468" name="Picture 5">
          <a:extLst>
            <a:ext uri="{FF2B5EF4-FFF2-40B4-BE49-F238E27FC236}">
              <a16:creationId xmlns:a16="http://schemas.microsoft.com/office/drawing/2014/main" id="{C4A988DB-C7D6-4A21-AC47-7507AF6017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0"/>
          <a:ext cx="84772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66675</xdr:colOff>
      <xdr:row>33</xdr:row>
      <xdr:rowOff>123825</xdr:rowOff>
    </xdr:from>
    <xdr:to>
      <xdr:col>27</xdr:col>
      <xdr:colOff>428625</xdr:colOff>
      <xdr:row>53</xdr:row>
      <xdr:rowOff>104775</xdr:rowOff>
    </xdr:to>
    <xdr:graphicFrame macro="">
      <xdr:nvGraphicFramePr>
        <xdr:cNvPr id="2067" name="Chart 2">
          <a:extLst>
            <a:ext uri="{FF2B5EF4-FFF2-40B4-BE49-F238E27FC236}">
              <a16:creationId xmlns:a16="http://schemas.microsoft.com/office/drawing/2014/main" id="{2D2DE285-1003-4D26-AA1A-4AB71B32B2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285750</xdr:colOff>
      <xdr:row>58</xdr:row>
      <xdr:rowOff>114300</xdr:rowOff>
    </xdr:from>
    <xdr:to>
      <xdr:col>27</xdr:col>
      <xdr:colOff>438150</xdr:colOff>
      <xdr:row>76</xdr:row>
      <xdr:rowOff>123825</xdr:rowOff>
    </xdr:to>
    <xdr:graphicFrame macro="">
      <xdr:nvGraphicFramePr>
        <xdr:cNvPr id="2068" name="Chart 4">
          <a:extLst>
            <a:ext uri="{FF2B5EF4-FFF2-40B4-BE49-F238E27FC236}">
              <a16:creationId xmlns:a16="http://schemas.microsoft.com/office/drawing/2014/main" id="{1E12C717-49AD-44C3-9F80-421F1FFFFC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95250</xdr:colOff>
      <xdr:row>9</xdr:row>
      <xdr:rowOff>114300</xdr:rowOff>
    </xdr:from>
    <xdr:to>
      <xdr:col>27</xdr:col>
      <xdr:colOff>314325</xdr:colOff>
      <xdr:row>28</xdr:row>
      <xdr:rowOff>104775</xdr:rowOff>
    </xdr:to>
    <xdr:graphicFrame macro="">
      <xdr:nvGraphicFramePr>
        <xdr:cNvPr id="2069" name="Chart 5">
          <a:extLst>
            <a:ext uri="{FF2B5EF4-FFF2-40B4-BE49-F238E27FC236}">
              <a16:creationId xmlns:a16="http://schemas.microsoft.com/office/drawing/2014/main" id="{F7F8D209-750B-4F71-B222-73650125E2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</xdr:row>
      <xdr:rowOff>73025</xdr:rowOff>
    </xdr:from>
    <xdr:to>
      <xdr:col>3</xdr:col>
      <xdr:colOff>180927</xdr:colOff>
      <xdr:row>8</xdr:row>
      <xdr:rowOff>95250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B4AABC8C-0439-4958-ADE2-F0934D32B56A}"/>
            </a:ext>
          </a:extLst>
        </xdr:cNvPr>
        <xdr:cNvSpPr txBox="1"/>
      </xdr:nvSpPr>
      <xdr:spPr>
        <a:xfrm>
          <a:off x="0" y="1063625"/>
          <a:ext cx="2200227" cy="3524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bia@bikeoz.com.au | www.bikeoz.com.au</a:t>
          </a: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4</xdr:col>
      <xdr:colOff>50800</xdr:colOff>
      <xdr:row>3</xdr:row>
      <xdr:rowOff>25400</xdr:rowOff>
    </xdr:from>
    <xdr:to>
      <xdr:col>11</xdr:col>
      <xdr:colOff>355600</xdr:colOff>
      <xdr:row>5</xdr:row>
      <xdr:rowOff>127000</xdr:rowOff>
    </xdr:to>
    <xdr:sp macro="" textlink="">
      <xdr:nvSpPr>
        <xdr:cNvPr id="6" name="TextBox 4">
          <a:extLst>
            <a:ext uri="{FF2B5EF4-FFF2-40B4-BE49-F238E27FC236}">
              <a16:creationId xmlns:a16="http://schemas.microsoft.com/office/drawing/2014/main" id="{AD5938A1-1D2E-47D9-BD77-CD9CCE2A5747}"/>
            </a:ext>
          </a:extLst>
        </xdr:cNvPr>
        <xdr:cNvSpPr txBox="1">
          <a:spLocks noChangeArrowheads="1"/>
        </xdr:cNvSpPr>
      </xdr:nvSpPr>
      <xdr:spPr bwMode="auto">
        <a:xfrm>
          <a:off x="2743200" y="520700"/>
          <a:ext cx="5016500" cy="4318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Financial year cumulative imports</a:t>
          </a:r>
        </a:p>
      </xdr:txBody>
    </xdr:sp>
    <xdr:clientData/>
  </xdr:twoCellAnchor>
  <xdr:twoCellAnchor editAs="oneCell">
    <xdr:from>
      <xdr:col>0</xdr:col>
      <xdr:colOff>504825</xdr:colOff>
      <xdr:row>0</xdr:row>
      <xdr:rowOff>0</xdr:rowOff>
    </xdr:from>
    <xdr:to>
      <xdr:col>2</xdr:col>
      <xdr:colOff>247650</xdr:colOff>
      <xdr:row>6</xdr:row>
      <xdr:rowOff>28575</xdr:rowOff>
    </xdr:to>
    <xdr:pic>
      <xdr:nvPicPr>
        <xdr:cNvPr id="2072" name="Picture 5">
          <a:extLst>
            <a:ext uri="{FF2B5EF4-FFF2-40B4-BE49-F238E27FC236}">
              <a16:creationId xmlns:a16="http://schemas.microsoft.com/office/drawing/2014/main" id="{E4A9A9F1-6E4E-4C72-B024-0EFD467162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0"/>
          <a:ext cx="8667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85725</xdr:colOff>
      <xdr:row>10</xdr:row>
      <xdr:rowOff>47625</xdr:rowOff>
    </xdr:from>
    <xdr:to>
      <xdr:col>10</xdr:col>
      <xdr:colOff>9525</xdr:colOff>
      <xdr:row>29</xdr:row>
      <xdr:rowOff>152400</xdr:rowOff>
    </xdr:to>
    <xdr:graphicFrame macro="">
      <xdr:nvGraphicFramePr>
        <xdr:cNvPr id="3085" name="Chart 1">
          <a:extLst>
            <a:ext uri="{FF2B5EF4-FFF2-40B4-BE49-F238E27FC236}">
              <a16:creationId xmlns:a16="http://schemas.microsoft.com/office/drawing/2014/main" id="{E8C15864-51B7-4912-A0A0-D17CEE6AF7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6</xdr:row>
      <xdr:rowOff>73025</xdr:rowOff>
    </xdr:from>
    <xdr:to>
      <xdr:col>2</xdr:col>
      <xdr:colOff>549227</xdr:colOff>
      <xdr:row>8</xdr:row>
      <xdr:rowOff>19050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930922B5-9430-4F68-AC2C-C518F435EC53}"/>
            </a:ext>
          </a:extLst>
        </xdr:cNvPr>
        <xdr:cNvSpPr txBox="1"/>
      </xdr:nvSpPr>
      <xdr:spPr>
        <a:xfrm>
          <a:off x="0" y="1063625"/>
          <a:ext cx="2200227" cy="3524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bia@bikeoz.com.au | www.bikeoz.com.au</a:t>
          </a: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3</xdr:col>
      <xdr:colOff>266700</xdr:colOff>
      <xdr:row>3</xdr:row>
      <xdr:rowOff>25400</xdr:rowOff>
    </xdr:from>
    <xdr:to>
      <xdr:col>9</xdr:col>
      <xdr:colOff>330200</xdr:colOff>
      <xdr:row>5</xdr:row>
      <xdr:rowOff>127000</xdr:rowOff>
    </xdr:to>
    <xdr:sp macro="" textlink="">
      <xdr:nvSpPr>
        <xdr:cNvPr id="6" name="TextBox 4">
          <a:extLst>
            <a:ext uri="{FF2B5EF4-FFF2-40B4-BE49-F238E27FC236}">
              <a16:creationId xmlns:a16="http://schemas.microsoft.com/office/drawing/2014/main" id="{1BD1156E-1235-4A18-B546-E89B7630EDC8}"/>
            </a:ext>
          </a:extLst>
        </xdr:cNvPr>
        <xdr:cNvSpPr txBox="1">
          <a:spLocks noChangeArrowheads="1"/>
        </xdr:cNvSpPr>
      </xdr:nvSpPr>
      <xdr:spPr bwMode="auto">
        <a:xfrm>
          <a:off x="2743200" y="520700"/>
          <a:ext cx="5016500" cy="4318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Financial year bicycle imports</a:t>
          </a:r>
        </a:p>
      </xdr:txBody>
    </xdr:sp>
    <xdr:clientData/>
  </xdr:twoCellAnchor>
  <xdr:twoCellAnchor editAs="oneCell">
    <xdr:from>
      <xdr:col>0</xdr:col>
      <xdr:colOff>504825</xdr:colOff>
      <xdr:row>0</xdr:row>
      <xdr:rowOff>0</xdr:rowOff>
    </xdr:from>
    <xdr:to>
      <xdr:col>1</xdr:col>
      <xdr:colOff>685800</xdr:colOff>
      <xdr:row>6</xdr:row>
      <xdr:rowOff>28575</xdr:rowOff>
    </xdr:to>
    <xdr:pic>
      <xdr:nvPicPr>
        <xdr:cNvPr id="3088" name="Picture 5">
          <a:extLst>
            <a:ext uri="{FF2B5EF4-FFF2-40B4-BE49-F238E27FC236}">
              <a16:creationId xmlns:a16="http://schemas.microsoft.com/office/drawing/2014/main" id="{67033EDF-F475-43ED-959F-72B2E5B942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0"/>
          <a:ext cx="92392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600075</xdr:colOff>
      <xdr:row>9</xdr:row>
      <xdr:rowOff>114300</xdr:rowOff>
    </xdr:from>
    <xdr:to>
      <xdr:col>19</xdr:col>
      <xdr:colOff>457201</xdr:colOff>
      <xdr:row>31</xdr:row>
      <xdr:rowOff>38100</xdr:rowOff>
    </xdr:to>
    <xdr:graphicFrame macro="">
      <xdr:nvGraphicFramePr>
        <xdr:cNvPr id="4109" name="Chart 3">
          <a:extLst>
            <a:ext uri="{FF2B5EF4-FFF2-40B4-BE49-F238E27FC236}">
              <a16:creationId xmlns:a16="http://schemas.microsoft.com/office/drawing/2014/main" id="{F19AA593-524D-413B-9D5B-183A09681B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390525</xdr:colOff>
      <xdr:row>36</xdr:row>
      <xdr:rowOff>114300</xdr:rowOff>
    </xdr:from>
    <xdr:to>
      <xdr:col>19</xdr:col>
      <xdr:colOff>409575</xdr:colOff>
      <xdr:row>65</xdr:row>
      <xdr:rowOff>0</xdr:rowOff>
    </xdr:to>
    <xdr:graphicFrame macro="">
      <xdr:nvGraphicFramePr>
        <xdr:cNvPr id="4110" name="Chart 7">
          <a:extLst>
            <a:ext uri="{FF2B5EF4-FFF2-40B4-BE49-F238E27FC236}">
              <a16:creationId xmlns:a16="http://schemas.microsoft.com/office/drawing/2014/main" id="{78614ED6-30C6-424F-903B-62335530FB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0</xdr:col>
      <xdr:colOff>41275</xdr:colOff>
      <xdr:row>0</xdr:row>
      <xdr:rowOff>85725</xdr:rowOff>
    </xdr:from>
    <xdr:ext cx="2270253" cy="137809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4996FD67-2895-4087-82A8-3731B00B7907}"/>
            </a:ext>
          </a:extLst>
        </xdr:cNvPr>
        <xdr:cNvSpPr txBox="1"/>
      </xdr:nvSpPr>
      <xdr:spPr>
        <a:xfrm>
          <a:off x="28575" y="85725"/>
          <a:ext cx="2371725" cy="1371600"/>
        </a:xfrm>
        <a:prstGeom prst="rect">
          <a:avLst/>
        </a:prstGeom>
        <a:solidFill>
          <a:schemeClr val="lt1"/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Calibri"/>
            <a:ea typeface="Calibri"/>
            <a:cs typeface="Calibri"/>
          </a:endParaRP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Calibri"/>
            <a:ea typeface="Calibri"/>
            <a:cs typeface="Calibri"/>
          </a:endParaRP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Calibri"/>
            <a:ea typeface="Calibri"/>
            <a:cs typeface="Calibri"/>
          </a:endParaRP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Calibri"/>
            <a:ea typeface="Calibri"/>
            <a:cs typeface="Calibri"/>
          </a:endParaRP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Calibri"/>
            <a:ea typeface="Calibri"/>
            <a:cs typeface="Calibri"/>
          </a:endParaRP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Calibri"/>
            <a:ea typeface="Calibri"/>
            <a:cs typeface="Calibri"/>
          </a:endParaRP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Calibri"/>
            <a:ea typeface="Calibri"/>
            <a:cs typeface="Calibri"/>
          </a:endParaRP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Calibri"/>
            <a:ea typeface="Calibri"/>
            <a:cs typeface="Calibri"/>
          </a:endParaRP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Calibri"/>
            <a:ea typeface="Calibri"/>
            <a:cs typeface="Calibri"/>
          </a:endParaRP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bia@bikeoz.com.au | www.bikeoz.com.au</a:t>
          </a: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oneCellAnchor>
  <xdr:twoCellAnchor editAs="oneCell">
    <xdr:from>
      <xdr:col>1</xdr:col>
      <xdr:colOff>180975</xdr:colOff>
      <xdr:row>0</xdr:row>
      <xdr:rowOff>142875</xdr:rowOff>
    </xdr:from>
    <xdr:to>
      <xdr:col>2</xdr:col>
      <xdr:colOff>552450</xdr:colOff>
      <xdr:row>6</xdr:row>
      <xdr:rowOff>66675</xdr:rowOff>
    </xdr:to>
    <xdr:pic>
      <xdr:nvPicPr>
        <xdr:cNvPr id="4112" name="Picture 5">
          <a:extLst>
            <a:ext uri="{FF2B5EF4-FFF2-40B4-BE49-F238E27FC236}">
              <a16:creationId xmlns:a16="http://schemas.microsoft.com/office/drawing/2014/main" id="{A88B2B2B-C056-456F-BC38-FB4C2641D0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42875"/>
          <a:ext cx="9620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114300</xdr:rowOff>
    </xdr:from>
    <xdr:to>
      <xdr:col>12</xdr:col>
      <xdr:colOff>561975</xdr:colOff>
      <xdr:row>40</xdr:row>
      <xdr:rowOff>47625</xdr:rowOff>
    </xdr:to>
    <xdr:graphicFrame macro="">
      <xdr:nvGraphicFramePr>
        <xdr:cNvPr id="5133" name="Chart 1">
          <a:extLst>
            <a:ext uri="{FF2B5EF4-FFF2-40B4-BE49-F238E27FC236}">
              <a16:creationId xmlns:a16="http://schemas.microsoft.com/office/drawing/2014/main" id="{1CE03F3A-0211-4EB2-8CD4-DF7AFD3B29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7</xdr:row>
      <xdr:rowOff>73025</xdr:rowOff>
    </xdr:from>
    <xdr:to>
      <xdr:col>3</xdr:col>
      <xdr:colOff>180927</xdr:colOff>
      <xdr:row>9</xdr:row>
      <xdr:rowOff>95250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DA937893-3811-4EC8-AE96-889BF10C207A}"/>
            </a:ext>
          </a:extLst>
        </xdr:cNvPr>
        <xdr:cNvSpPr txBox="1"/>
      </xdr:nvSpPr>
      <xdr:spPr>
        <a:xfrm>
          <a:off x="0" y="1063625"/>
          <a:ext cx="2200227" cy="3524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bia@bikeoz.com.au | www.bikeoz.com.au</a:t>
          </a: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4</xdr:col>
      <xdr:colOff>50800</xdr:colOff>
      <xdr:row>4</xdr:row>
      <xdr:rowOff>25400</xdr:rowOff>
    </xdr:from>
    <xdr:to>
      <xdr:col>11</xdr:col>
      <xdr:colOff>355600</xdr:colOff>
      <xdr:row>6</xdr:row>
      <xdr:rowOff>127000</xdr:rowOff>
    </xdr:to>
    <xdr:sp macro="" textlink="">
      <xdr:nvSpPr>
        <xdr:cNvPr id="7" name="TextBox 4">
          <a:extLst>
            <a:ext uri="{FF2B5EF4-FFF2-40B4-BE49-F238E27FC236}">
              <a16:creationId xmlns:a16="http://schemas.microsoft.com/office/drawing/2014/main" id="{988A2B1F-22D7-430B-B832-4AFF8188B217}"/>
            </a:ext>
          </a:extLst>
        </xdr:cNvPr>
        <xdr:cNvSpPr txBox="1">
          <a:spLocks noChangeArrowheads="1"/>
        </xdr:cNvSpPr>
      </xdr:nvSpPr>
      <xdr:spPr bwMode="auto">
        <a:xfrm>
          <a:off x="2743200" y="520700"/>
          <a:ext cx="5016500" cy="4318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Quarterly Imports By Calendar Year</a:t>
          </a:r>
        </a:p>
      </xdr:txBody>
    </xdr:sp>
    <xdr:clientData/>
  </xdr:twoCellAnchor>
  <xdr:twoCellAnchor editAs="oneCell">
    <xdr:from>
      <xdr:col>0</xdr:col>
      <xdr:colOff>504825</xdr:colOff>
      <xdr:row>0</xdr:row>
      <xdr:rowOff>0</xdr:rowOff>
    </xdr:from>
    <xdr:to>
      <xdr:col>2</xdr:col>
      <xdr:colOff>180975</xdr:colOff>
      <xdr:row>7</xdr:row>
      <xdr:rowOff>28575</xdr:rowOff>
    </xdr:to>
    <xdr:pic>
      <xdr:nvPicPr>
        <xdr:cNvPr id="5136" name="Picture 5">
          <a:extLst>
            <a:ext uri="{FF2B5EF4-FFF2-40B4-BE49-F238E27FC236}">
              <a16:creationId xmlns:a16="http://schemas.microsoft.com/office/drawing/2014/main" id="{950137F9-F061-4767-A88A-4109DCB6BC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0"/>
          <a:ext cx="85725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32</xdr:row>
      <xdr:rowOff>0</xdr:rowOff>
    </xdr:from>
    <xdr:to>
      <xdr:col>13</xdr:col>
      <xdr:colOff>276225</xdr:colOff>
      <xdr:row>55</xdr:row>
      <xdr:rowOff>123825</xdr:rowOff>
    </xdr:to>
    <xdr:graphicFrame macro="">
      <xdr:nvGraphicFramePr>
        <xdr:cNvPr id="6154" name="Chart 1">
          <a:extLst>
            <a:ext uri="{FF2B5EF4-FFF2-40B4-BE49-F238E27FC236}">
              <a16:creationId xmlns:a16="http://schemas.microsoft.com/office/drawing/2014/main" id="{78A5225A-BCA9-4218-89F0-1D22D25E84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82550</xdr:colOff>
      <xdr:row>0</xdr:row>
      <xdr:rowOff>0</xdr:rowOff>
    </xdr:from>
    <xdr:ext cx="2472568" cy="143827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401C2A4E-6054-4959-A3A3-AFC3E5FEE5EC}"/>
            </a:ext>
          </a:extLst>
        </xdr:cNvPr>
        <xdr:cNvSpPr txBox="1"/>
      </xdr:nvSpPr>
      <xdr:spPr>
        <a:xfrm>
          <a:off x="66675" y="0"/>
          <a:ext cx="2333625" cy="1438275"/>
        </a:xfrm>
        <a:prstGeom prst="rect">
          <a:avLst/>
        </a:prstGeom>
        <a:solidFill>
          <a:schemeClr val="lt1"/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Calibri"/>
            <a:ea typeface="Calibri"/>
            <a:cs typeface="Calibri"/>
          </a:endParaRP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Calibri"/>
            <a:ea typeface="Calibri"/>
            <a:cs typeface="Calibri"/>
          </a:endParaRP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Calibri"/>
            <a:ea typeface="Calibri"/>
            <a:cs typeface="Calibri"/>
          </a:endParaRP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Calibri"/>
            <a:ea typeface="Calibri"/>
            <a:cs typeface="Calibri"/>
          </a:endParaRP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Calibri"/>
            <a:ea typeface="Calibri"/>
            <a:cs typeface="Calibri"/>
          </a:endParaRP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Calibri"/>
            <a:ea typeface="Calibri"/>
            <a:cs typeface="Calibri"/>
          </a:endParaRP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Calibri"/>
            <a:ea typeface="Calibri"/>
            <a:cs typeface="Calibri"/>
          </a:endParaRP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Calibri"/>
            <a:ea typeface="Calibri"/>
            <a:cs typeface="Calibri"/>
          </a:endParaRP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bia@bikeoz.com.au | www.bikeoz.com.au</a:t>
          </a: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oneCellAnchor>
  <xdr:twoCellAnchor editAs="oneCell">
    <xdr:from>
      <xdr:col>1</xdr:col>
      <xdr:colOff>161925</xdr:colOff>
      <xdr:row>0</xdr:row>
      <xdr:rowOff>47625</xdr:rowOff>
    </xdr:from>
    <xdr:to>
      <xdr:col>2</xdr:col>
      <xdr:colOff>333375</xdr:colOff>
      <xdr:row>5</xdr:row>
      <xdr:rowOff>57150</xdr:rowOff>
    </xdr:to>
    <xdr:pic>
      <xdr:nvPicPr>
        <xdr:cNvPr id="6156" name="Picture 4">
          <a:extLst>
            <a:ext uri="{FF2B5EF4-FFF2-40B4-BE49-F238E27FC236}">
              <a16:creationId xmlns:a16="http://schemas.microsoft.com/office/drawing/2014/main" id="{795F1FEF-CFA7-4914-ADB1-65D892D59E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47625"/>
          <a:ext cx="78105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504825</xdr:colOff>
      <xdr:row>27</xdr:row>
      <xdr:rowOff>0</xdr:rowOff>
    </xdr:from>
    <xdr:to>
      <xdr:col>15</xdr:col>
      <xdr:colOff>219075</xdr:colOff>
      <xdr:row>54</xdr:row>
      <xdr:rowOff>161925</xdr:rowOff>
    </xdr:to>
    <xdr:graphicFrame macro="">
      <xdr:nvGraphicFramePr>
        <xdr:cNvPr id="7181" name="Chart 1">
          <a:extLst>
            <a:ext uri="{FF2B5EF4-FFF2-40B4-BE49-F238E27FC236}">
              <a16:creationId xmlns:a16="http://schemas.microsoft.com/office/drawing/2014/main" id="{9F9359FF-036A-4F61-8DA3-97C1C35E77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</xdr:row>
      <xdr:rowOff>47625</xdr:rowOff>
    </xdr:from>
    <xdr:to>
      <xdr:col>2</xdr:col>
      <xdr:colOff>600027</xdr:colOff>
      <xdr:row>6</xdr:row>
      <xdr:rowOff>196850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3B89F4AF-6BF3-4D4C-8AF5-04C7B339F53A}"/>
            </a:ext>
          </a:extLst>
        </xdr:cNvPr>
        <xdr:cNvSpPr txBox="1"/>
      </xdr:nvSpPr>
      <xdr:spPr>
        <a:xfrm>
          <a:off x="0" y="1063625"/>
          <a:ext cx="2200227" cy="3524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bia@bikeoz.com.au | www.bikeoz.com.au</a:t>
          </a: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3</xdr:col>
      <xdr:colOff>266700</xdr:colOff>
      <xdr:row>2</xdr:row>
      <xdr:rowOff>114300</xdr:rowOff>
    </xdr:from>
    <xdr:to>
      <xdr:col>10</xdr:col>
      <xdr:colOff>317500</xdr:colOff>
      <xdr:row>4</xdr:row>
      <xdr:rowOff>139700</xdr:rowOff>
    </xdr:to>
    <xdr:sp macro="" textlink="">
      <xdr:nvSpPr>
        <xdr:cNvPr id="4" name="TextBox 4">
          <a:extLst>
            <a:ext uri="{FF2B5EF4-FFF2-40B4-BE49-F238E27FC236}">
              <a16:creationId xmlns:a16="http://schemas.microsoft.com/office/drawing/2014/main" id="{249B7A31-13D5-4E07-A3A8-ABE73BC7BD5D}"/>
            </a:ext>
          </a:extLst>
        </xdr:cNvPr>
        <xdr:cNvSpPr txBox="1">
          <a:spLocks noChangeArrowheads="1"/>
        </xdr:cNvSpPr>
      </xdr:nvSpPr>
      <xdr:spPr bwMode="auto">
        <a:xfrm>
          <a:off x="2743200" y="520700"/>
          <a:ext cx="5016500" cy="4318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Cumulative year monthly imports</a:t>
          </a:r>
        </a:p>
      </xdr:txBody>
    </xdr:sp>
    <xdr:clientData/>
  </xdr:twoCellAnchor>
  <xdr:twoCellAnchor editAs="oneCell">
    <xdr:from>
      <xdr:col>0</xdr:col>
      <xdr:colOff>504825</xdr:colOff>
      <xdr:row>0</xdr:row>
      <xdr:rowOff>0</xdr:rowOff>
    </xdr:from>
    <xdr:to>
      <xdr:col>2</xdr:col>
      <xdr:colOff>0</xdr:colOff>
      <xdr:row>4</xdr:row>
      <xdr:rowOff>190500</xdr:rowOff>
    </xdr:to>
    <xdr:pic>
      <xdr:nvPicPr>
        <xdr:cNvPr id="7184" name="Picture 5">
          <a:extLst>
            <a:ext uri="{FF2B5EF4-FFF2-40B4-BE49-F238E27FC236}">
              <a16:creationId xmlns:a16="http://schemas.microsoft.com/office/drawing/2014/main" id="{B1F33B09-5912-43A1-A6BD-D08E12FC69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0"/>
          <a:ext cx="89535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228600</xdr:colOff>
      <xdr:row>9</xdr:row>
      <xdr:rowOff>85725</xdr:rowOff>
    </xdr:from>
    <xdr:to>
      <xdr:col>12</xdr:col>
      <xdr:colOff>657225</xdr:colOff>
      <xdr:row>33</xdr:row>
      <xdr:rowOff>66675</xdr:rowOff>
    </xdr:to>
    <xdr:graphicFrame macro="">
      <xdr:nvGraphicFramePr>
        <xdr:cNvPr id="8205" name="Chart 2">
          <a:extLst>
            <a:ext uri="{FF2B5EF4-FFF2-40B4-BE49-F238E27FC236}">
              <a16:creationId xmlns:a16="http://schemas.microsoft.com/office/drawing/2014/main" id="{2B9D7DFF-E850-4AA1-AC45-733D3C6AE7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6</xdr:row>
      <xdr:rowOff>73025</xdr:rowOff>
    </xdr:from>
    <xdr:to>
      <xdr:col>2</xdr:col>
      <xdr:colOff>549227</xdr:colOff>
      <xdr:row>8</xdr:row>
      <xdr:rowOff>95250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605B3DC-F438-494B-9101-1EF00CF49D31}"/>
            </a:ext>
          </a:extLst>
        </xdr:cNvPr>
        <xdr:cNvSpPr txBox="1"/>
      </xdr:nvSpPr>
      <xdr:spPr>
        <a:xfrm>
          <a:off x="0" y="1063625"/>
          <a:ext cx="2200227" cy="3524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bia@bikeoz.com.au | www.bikeoz.com.au</a:t>
          </a: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3</xdr:col>
      <xdr:colOff>266700</xdr:colOff>
      <xdr:row>3</xdr:row>
      <xdr:rowOff>25400</xdr:rowOff>
    </xdr:from>
    <xdr:to>
      <xdr:col>9</xdr:col>
      <xdr:colOff>330200</xdr:colOff>
      <xdr:row>5</xdr:row>
      <xdr:rowOff>127000</xdr:rowOff>
    </xdr:to>
    <xdr:sp macro="" textlink="">
      <xdr:nvSpPr>
        <xdr:cNvPr id="7" name="TextBox 4">
          <a:extLst>
            <a:ext uri="{FF2B5EF4-FFF2-40B4-BE49-F238E27FC236}">
              <a16:creationId xmlns:a16="http://schemas.microsoft.com/office/drawing/2014/main" id="{C7CEF7DC-B86D-42BC-A663-76C8955DA733}"/>
            </a:ext>
          </a:extLst>
        </xdr:cNvPr>
        <xdr:cNvSpPr txBox="1">
          <a:spLocks noChangeArrowheads="1"/>
        </xdr:cNvSpPr>
      </xdr:nvSpPr>
      <xdr:spPr bwMode="auto">
        <a:xfrm>
          <a:off x="2743200" y="520700"/>
          <a:ext cx="5016500" cy="4318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Ave annual financial year import value</a:t>
          </a:r>
        </a:p>
      </xdr:txBody>
    </xdr:sp>
    <xdr:clientData/>
  </xdr:twoCellAnchor>
  <xdr:twoCellAnchor editAs="oneCell">
    <xdr:from>
      <xdr:col>0</xdr:col>
      <xdr:colOff>504825</xdr:colOff>
      <xdr:row>0</xdr:row>
      <xdr:rowOff>0</xdr:rowOff>
    </xdr:from>
    <xdr:to>
      <xdr:col>1</xdr:col>
      <xdr:colOff>685800</xdr:colOff>
      <xdr:row>6</xdr:row>
      <xdr:rowOff>19050</xdr:rowOff>
    </xdr:to>
    <xdr:pic>
      <xdr:nvPicPr>
        <xdr:cNvPr id="8208" name="Picture 5">
          <a:extLst>
            <a:ext uri="{FF2B5EF4-FFF2-40B4-BE49-F238E27FC236}">
              <a16:creationId xmlns:a16="http://schemas.microsoft.com/office/drawing/2014/main" id="{BB06E981-B2D3-49DD-80D2-7B0B3B66A4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0"/>
          <a:ext cx="9239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111125</xdr:colOff>
      <xdr:row>0</xdr:row>
      <xdr:rowOff>44450</xdr:rowOff>
    </xdr:from>
    <xdr:ext cx="2412540" cy="1415721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83CADF2D-0593-4210-8EBB-7169DF3538ED}"/>
            </a:ext>
          </a:extLst>
        </xdr:cNvPr>
        <xdr:cNvSpPr txBox="1"/>
      </xdr:nvSpPr>
      <xdr:spPr>
        <a:xfrm>
          <a:off x="95250" y="47625"/>
          <a:ext cx="2333625" cy="1438275"/>
        </a:xfrm>
        <a:prstGeom prst="rect">
          <a:avLst/>
        </a:prstGeom>
        <a:solidFill>
          <a:schemeClr val="lt1"/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Calibri"/>
            <a:ea typeface="Calibri"/>
            <a:cs typeface="Calibri"/>
          </a:endParaRP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Calibri"/>
            <a:ea typeface="Calibri"/>
            <a:cs typeface="Calibri"/>
          </a:endParaRP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Calibri"/>
            <a:ea typeface="Calibri"/>
            <a:cs typeface="Calibri"/>
          </a:endParaRP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Calibri"/>
            <a:ea typeface="Calibri"/>
            <a:cs typeface="Calibri"/>
          </a:endParaRP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Calibri"/>
            <a:ea typeface="Calibri"/>
            <a:cs typeface="Calibri"/>
          </a:endParaRP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Calibri"/>
            <a:ea typeface="Calibri"/>
            <a:cs typeface="Calibri"/>
          </a:endParaRP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Calibri"/>
            <a:ea typeface="Calibri"/>
            <a:cs typeface="Calibri"/>
          </a:endParaRP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Calibri"/>
            <a:ea typeface="Calibri"/>
            <a:cs typeface="Calibri"/>
          </a:endParaRP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bia@bikeoz.com.au | www.bikeoz.com.au</a:t>
          </a: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oneCellAnchor>
  <xdr:twoCellAnchor editAs="oneCell">
    <xdr:from>
      <xdr:col>0</xdr:col>
      <xdr:colOff>904875</xdr:colOff>
      <xdr:row>0</xdr:row>
      <xdr:rowOff>161925</xdr:rowOff>
    </xdr:from>
    <xdr:to>
      <xdr:col>0</xdr:col>
      <xdr:colOff>1752600</xdr:colOff>
      <xdr:row>5</xdr:row>
      <xdr:rowOff>66675</xdr:rowOff>
    </xdr:to>
    <xdr:pic>
      <xdr:nvPicPr>
        <xdr:cNvPr id="9224" name="Picture 4">
          <a:extLst>
            <a:ext uri="{FF2B5EF4-FFF2-40B4-BE49-F238E27FC236}">
              <a16:creationId xmlns:a16="http://schemas.microsoft.com/office/drawing/2014/main" id="{383D8841-402E-40BE-B4C2-167E8C9D34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5" y="152400"/>
          <a:ext cx="84772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terbourke/Dropbox/BIA/Projects/DATA/ABS%20stats/2017/Mar/Mar%20Raw%20dat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terbourke/Library/Containers/com.apple.mail/Data/Library/Mail%20Downloads/DFE99844-3F1D-4A21-A175-86BFB0BFE18A/B8401381.csv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terbourke/Dropbox/BIA/Projects/DATA/ABS%20stats/2016/March/March%202016%20raw%20dat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terbourke/Dropbox/BIA/Projects/DATA/ABS%20stats/2016/June/June%202016%20import%20raw%20dat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terbourke/Dropbox/BIA/Projects/DATA/ABS%20stats/2016/Aug/2016Aug%20raw%20dat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terbourke/Library/Containers/com.apple.mail/Data/Library/Mail%20Downloads/10369325-CB3A-4BDC-A4D2-C3E919BEC2C3/C9901381.csv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terbourke/Library/Containers/com.apple.mail/Data/Library/Mail%20Downloads/4F0A6DC6-6C85-4B5A-B07E-EFC1CAC02E5D/F6401381.csv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terbourke/Library/Containers/com.apple.mail/Data/Library/Mail%20Downloads/4088B221-EAFB-4313-9C94-3766400C3456/U4001381.csv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terbourke/Dropbox/BIA/Projects/DATA/ABS%20stats/2016/Oct/Oct%20raw%20data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terbourke/Dropbox/BIA/Projects/DATA/ABS%20stats/2016/Dec/2016%20Dec%20Raw%20da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4301381"/>
    </sheetNames>
    <sheetDataSet>
      <sheetData sheetId="0">
        <row r="7">
          <cell r="E7">
            <v>3143929.5</v>
          </cell>
        </row>
        <row r="8">
          <cell r="E8">
            <v>18018989.199999999</v>
          </cell>
        </row>
        <row r="21">
          <cell r="E21">
            <v>2437537.58</v>
          </cell>
        </row>
        <row r="22">
          <cell r="E22">
            <v>12357987.1</v>
          </cell>
        </row>
        <row r="35">
          <cell r="E35">
            <v>1590901.29</v>
          </cell>
        </row>
        <row r="36">
          <cell r="E36">
            <v>10814871.109999999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8401381.csv"/>
    </sheetNames>
    <sheetDataSet>
      <sheetData sheetId="0" refreshError="1">
        <row r="28">
          <cell r="D28">
            <v>76197</v>
          </cell>
          <cell r="E28">
            <v>1018959.47</v>
          </cell>
        </row>
        <row r="29">
          <cell r="D29">
            <v>221828</v>
          </cell>
          <cell r="E29">
            <v>413822.32</v>
          </cell>
        </row>
        <row r="31">
          <cell r="D31">
            <v>2773</v>
          </cell>
          <cell r="E31">
            <v>2306547.7799999998</v>
          </cell>
        </row>
        <row r="36">
          <cell r="E36">
            <v>212929</v>
          </cell>
        </row>
        <row r="37">
          <cell r="E37">
            <v>1085762.5600000001</v>
          </cell>
        </row>
        <row r="38">
          <cell r="D38">
            <v>17543</v>
          </cell>
          <cell r="E38">
            <v>323068.27</v>
          </cell>
        </row>
        <row r="39">
          <cell r="E39">
            <v>673946.49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701381.csv"/>
    </sheetNames>
    <sheetDataSet>
      <sheetData sheetId="0">
        <row r="6">
          <cell r="E6">
            <v>2588769.11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4301381.csv"/>
    </sheetNames>
    <sheetDataSet>
      <sheetData sheetId="0">
        <row r="6">
          <cell r="E6">
            <v>1132254.93</v>
          </cell>
        </row>
        <row r="7">
          <cell r="E7">
            <v>6153585.0599999996</v>
          </cell>
        </row>
        <row r="19">
          <cell r="E19">
            <v>2320037.7599999998</v>
          </cell>
        </row>
        <row r="20">
          <cell r="E20">
            <v>10680652.359999999</v>
          </cell>
        </row>
        <row r="33">
          <cell r="E33">
            <v>13896108.34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0801381.csv"/>
    </sheetNames>
    <sheetDataSet>
      <sheetData sheetId="0">
        <row r="20">
          <cell r="E20">
            <v>17795890.84</v>
          </cell>
        </row>
        <row r="33">
          <cell r="E33">
            <v>25610520.620000001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9901381.csv"/>
    </sheetNames>
    <sheetDataSet>
      <sheetData sheetId="0" refreshError="1">
        <row r="17">
          <cell r="E17">
            <v>616551.62</v>
          </cell>
        </row>
        <row r="21">
          <cell r="E21">
            <v>18018989.199999999</v>
          </cell>
        </row>
        <row r="29">
          <cell r="D29">
            <v>43174</v>
          </cell>
          <cell r="E29">
            <v>512182.83</v>
          </cell>
        </row>
        <row r="30">
          <cell r="D30">
            <v>136327</v>
          </cell>
          <cell r="E30">
            <v>239980.3</v>
          </cell>
        </row>
        <row r="31">
          <cell r="E31">
            <v>921842.04</v>
          </cell>
        </row>
        <row r="32">
          <cell r="D32">
            <v>4624</v>
          </cell>
          <cell r="E32">
            <v>2599412.0299999998</v>
          </cell>
        </row>
        <row r="34">
          <cell r="E34">
            <v>2437537.58</v>
          </cell>
        </row>
        <row r="35">
          <cell r="E35">
            <v>12357988.09</v>
          </cell>
        </row>
        <row r="37">
          <cell r="E37">
            <v>203726.22</v>
          </cell>
        </row>
        <row r="38">
          <cell r="E38">
            <v>815032.99</v>
          </cell>
        </row>
        <row r="39">
          <cell r="D39">
            <v>5597</v>
          </cell>
          <cell r="E39">
            <v>145964.79999999999</v>
          </cell>
        </row>
        <row r="40">
          <cell r="E40">
            <v>831357.43999999994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6401381.csv"/>
    </sheetNames>
    <sheetDataSet>
      <sheetData sheetId="0" refreshError="1">
        <row r="30">
          <cell r="D30">
            <v>93238</v>
          </cell>
          <cell r="E30">
            <v>830172.76</v>
          </cell>
        </row>
        <row r="31">
          <cell r="D31">
            <v>304638</v>
          </cell>
          <cell r="E31">
            <v>556654.88</v>
          </cell>
        </row>
        <row r="32">
          <cell r="E32">
            <v>796757.93</v>
          </cell>
        </row>
        <row r="35">
          <cell r="E35">
            <v>1670370.09</v>
          </cell>
        </row>
        <row r="36">
          <cell r="E36">
            <v>12109915.84</v>
          </cell>
        </row>
        <row r="37">
          <cell r="D37">
            <v>1075</v>
          </cell>
          <cell r="E37">
            <v>1196697.0900000001</v>
          </cell>
        </row>
        <row r="38">
          <cell r="E38">
            <v>298840.13</v>
          </cell>
        </row>
        <row r="39">
          <cell r="E39">
            <v>561616.69999999995</v>
          </cell>
        </row>
        <row r="40">
          <cell r="D40">
            <v>21430</v>
          </cell>
          <cell r="E40">
            <v>349172.55</v>
          </cell>
        </row>
        <row r="41">
          <cell r="E41">
            <v>952400.47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4001381.csv"/>
    </sheetNames>
    <sheetDataSet>
      <sheetData sheetId="0" refreshError="1">
        <row r="8">
          <cell r="D8">
            <v>1019</v>
          </cell>
          <cell r="E8">
            <v>781304.1</v>
          </cell>
        </row>
        <row r="21">
          <cell r="D21">
            <v>999</v>
          </cell>
          <cell r="E21">
            <v>968556.53</v>
          </cell>
        </row>
        <row r="28">
          <cell r="D28">
            <v>93777</v>
          </cell>
          <cell r="E28">
            <v>1003155.35</v>
          </cell>
        </row>
        <row r="29">
          <cell r="D29">
            <v>109630</v>
          </cell>
          <cell r="E29">
            <v>230522.39</v>
          </cell>
        </row>
        <row r="30">
          <cell r="E30">
            <v>643661.07999999996</v>
          </cell>
        </row>
        <row r="34">
          <cell r="D34">
            <v>1094</v>
          </cell>
          <cell r="E34">
            <v>953653.54</v>
          </cell>
        </row>
        <row r="35">
          <cell r="E35">
            <v>280298.57</v>
          </cell>
        </row>
        <row r="36">
          <cell r="E36">
            <v>1124256.77</v>
          </cell>
        </row>
        <row r="37">
          <cell r="D37">
            <v>4522</v>
          </cell>
          <cell r="E37">
            <v>119999.34</v>
          </cell>
        </row>
        <row r="38">
          <cell r="E38">
            <v>642615.78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9501381.csv"/>
    </sheetNames>
    <sheetDataSet>
      <sheetData sheetId="0">
        <row r="28">
          <cell r="D28">
            <v>45770</v>
          </cell>
          <cell r="E28">
            <v>564647.04</v>
          </cell>
        </row>
        <row r="29">
          <cell r="D29">
            <v>312476</v>
          </cell>
          <cell r="E29">
            <v>583758.92000000004</v>
          </cell>
        </row>
        <row r="30">
          <cell r="E30">
            <v>319601.61</v>
          </cell>
        </row>
        <row r="34">
          <cell r="D34">
            <v>1231</v>
          </cell>
          <cell r="E34">
            <v>868813.59</v>
          </cell>
        </row>
        <row r="35">
          <cell r="E35">
            <v>529724.59</v>
          </cell>
        </row>
        <row r="36">
          <cell r="E36">
            <v>705493.5</v>
          </cell>
        </row>
        <row r="37">
          <cell r="D37">
            <v>6016</v>
          </cell>
          <cell r="E37">
            <v>119990.21</v>
          </cell>
        </row>
        <row r="38">
          <cell r="E38">
            <v>736167.56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9101381.csv"/>
    </sheetNames>
    <sheetDataSet>
      <sheetData sheetId="0">
        <row r="28">
          <cell r="D28">
            <v>53152</v>
          </cell>
          <cell r="E28">
            <v>663013.81000000006</v>
          </cell>
        </row>
        <row r="29">
          <cell r="D29">
            <v>128699</v>
          </cell>
          <cell r="E29">
            <v>251007.35</v>
          </cell>
        </row>
        <row r="30">
          <cell r="E30">
            <v>390144.96</v>
          </cell>
        </row>
        <row r="34">
          <cell r="D34">
            <v>1354</v>
          </cell>
          <cell r="E34">
            <v>1024620.27</v>
          </cell>
        </row>
        <row r="35">
          <cell r="E35">
            <v>456575.89</v>
          </cell>
        </row>
        <row r="36">
          <cell r="E36">
            <v>754397.9</v>
          </cell>
        </row>
        <row r="37">
          <cell r="D37">
            <v>10592</v>
          </cell>
          <cell r="E37">
            <v>250201.63</v>
          </cell>
        </row>
        <row r="38">
          <cell r="E38">
            <v>832102.69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88"/>
  <sheetViews>
    <sheetView tabSelected="1" topLeftCell="A52" zoomScale="96" zoomScaleNormal="75" workbookViewId="0">
      <selection activeCell="L71" sqref="L71"/>
    </sheetView>
  </sheetViews>
  <sheetFormatPr defaultColWidth="8.85546875" defaultRowHeight="12"/>
  <cols>
    <col min="1" max="1" width="25.85546875" style="2" customWidth="1"/>
    <col min="2" max="3" width="9.42578125" style="2" bestFit="1" customWidth="1"/>
    <col min="4" max="4" width="10.28515625" style="2" bestFit="1" customWidth="1"/>
    <col min="5" max="5" width="9.42578125" style="2" bestFit="1" customWidth="1"/>
    <col min="6" max="6" width="10.42578125" style="2" bestFit="1" customWidth="1"/>
    <col min="7" max="13" width="9.42578125" style="2" bestFit="1" customWidth="1"/>
    <col min="14" max="14" width="11" style="2" customWidth="1"/>
    <col min="15" max="15" width="12.140625" style="2" customWidth="1"/>
    <col min="16" max="16384" width="8.85546875" style="2"/>
  </cols>
  <sheetData>
    <row r="1" spans="1:15" s="154" customFormat="1"/>
    <row r="2" spans="1:15" s="154" customFormat="1"/>
    <row r="3" spans="1:15" s="154" customFormat="1" ht="15" customHeight="1">
      <c r="J3" s="155"/>
      <c r="K3" s="155"/>
    </row>
    <row r="4" spans="1:15" s="154" customFormat="1" ht="21.75" customHeight="1">
      <c r="A4" s="156"/>
      <c r="B4" s="157"/>
      <c r="C4" s="157" t="s">
        <v>239</v>
      </c>
      <c r="D4" s="157"/>
      <c r="E4" s="157"/>
      <c r="F4" s="157"/>
      <c r="G4" s="157"/>
      <c r="H4" s="157"/>
      <c r="I4" s="157"/>
      <c r="J4" s="158"/>
      <c r="K4" s="159"/>
    </row>
    <row r="5" spans="1:15" s="154" customFormat="1" ht="12" customHeight="1">
      <c r="B5" s="155"/>
      <c r="C5" s="155"/>
      <c r="D5" s="155"/>
      <c r="E5" s="155"/>
      <c r="F5" s="155"/>
      <c r="G5" s="155"/>
      <c r="H5" s="155"/>
      <c r="I5" s="155"/>
    </row>
    <row r="6" spans="1:15" s="154" customFormat="1"/>
    <row r="7" spans="1:15" s="154" customFormat="1" ht="13.5" customHeight="1">
      <c r="A7" s="160"/>
    </row>
    <row r="8" spans="1:15" s="161" customFormat="1">
      <c r="F8" s="162"/>
      <c r="G8" s="162"/>
      <c r="H8" s="162"/>
      <c r="I8" s="162"/>
      <c r="J8" s="162"/>
      <c r="K8" s="162"/>
    </row>
    <row r="9" spans="1:15" s="168" customFormat="1" ht="29.1" customHeight="1">
      <c r="A9" s="163" t="s">
        <v>135</v>
      </c>
      <c r="B9" s="164">
        <v>39995</v>
      </c>
      <c r="C9" s="164">
        <v>40026</v>
      </c>
      <c r="D9" s="164">
        <v>40057</v>
      </c>
      <c r="E9" s="164">
        <v>40087</v>
      </c>
      <c r="F9" s="164">
        <v>40118</v>
      </c>
      <c r="G9" s="165" t="s">
        <v>137</v>
      </c>
      <c r="H9" s="165" t="s">
        <v>4</v>
      </c>
      <c r="I9" s="165" t="s">
        <v>5</v>
      </c>
      <c r="J9" s="165" t="s">
        <v>7</v>
      </c>
      <c r="K9" s="165" t="s">
        <v>6</v>
      </c>
      <c r="L9" s="166">
        <v>40299</v>
      </c>
      <c r="M9" s="166">
        <v>40330</v>
      </c>
      <c r="N9" s="167" t="s">
        <v>321</v>
      </c>
      <c r="O9" s="167" t="s">
        <v>322</v>
      </c>
    </row>
    <row r="10" spans="1:15" s="27" customFormat="1">
      <c r="A10" s="169" t="s">
        <v>57</v>
      </c>
      <c r="B10" s="170">
        <v>34099</v>
      </c>
      <c r="C10" s="170">
        <v>47719</v>
      </c>
      <c r="D10" s="170">
        <v>52395</v>
      </c>
      <c r="E10" s="170">
        <v>72882</v>
      </c>
      <c r="F10" s="171">
        <v>66040</v>
      </c>
      <c r="G10" s="170">
        <v>20027</v>
      </c>
      <c r="H10" s="170">
        <v>8277</v>
      </c>
      <c r="I10" s="170">
        <v>24970</v>
      </c>
      <c r="J10" s="170">
        <v>31401</v>
      </c>
      <c r="K10" s="170">
        <v>16072</v>
      </c>
      <c r="L10" s="172">
        <v>56501</v>
      </c>
      <c r="M10" s="173">
        <v>38680</v>
      </c>
      <c r="N10" s="170">
        <f>SUM(B10:M10)</f>
        <v>469063</v>
      </c>
      <c r="O10" s="173">
        <f t="shared" ref="O10:O65" si="0">N10/12</f>
        <v>39088.583333333336</v>
      </c>
    </row>
    <row r="11" spans="1:15" s="27" customFormat="1">
      <c r="A11" s="174" t="s">
        <v>76</v>
      </c>
      <c r="B11" s="170">
        <v>71878</v>
      </c>
      <c r="C11" s="170">
        <v>69130</v>
      </c>
      <c r="D11" s="170">
        <v>90396</v>
      </c>
      <c r="E11" s="27">
        <v>124933</v>
      </c>
      <c r="F11" s="175">
        <v>113391</v>
      </c>
      <c r="G11" s="170">
        <v>49723</v>
      </c>
      <c r="H11" s="170">
        <v>44322</v>
      </c>
      <c r="I11" s="170">
        <v>46026</v>
      </c>
      <c r="J11" s="170">
        <v>24543</v>
      </c>
      <c r="K11" s="170">
        <v>28323</v>
      </c>
      <c r="L11" s="172">
        <v>57562</v>
      </c>
      <c r="M11" s="173">
        <v>55108</v>
      </c>
      <c r="N11" s="170">
        <f t="shared" ref="N11:N67" si="1">SUM(B11:M11)</f>
        <v>775335</v>
      </c>
      <c r="O11" s="173">
        <f t="shared" si="0"/>
        <v>64611.25</v>
      </c>
    </row>
    <row r="12" spans="1:15" s="27" customFormat="1" ht="15.75" customHeight="1">
      <c r="A12" s="174" t="s">
        <v>234</v>
      </c>
      <c r="B12" s="176">
        <f>(B11/B13)</f>
        <v>0.67824150523226734</v>
      </c>
      <c r="C12" s="176">
        <f>(C11/C13)</f>
        <v>0.59161824234696059</v>
      </c>
      <c r="D12" s="176">
        <f>(D11/D13)</f>
        <v>0.63306510914553438</v>
      </c>
      <c r="E12" s="176">
        <f>E11/E13</f>
        <v>0.63156484594191542</v>
      </c>
      <c r="F12" s="176">
        <f t="shared" ref="F12:K12" si="2">F11/F13</f>
        <v>0.63194765675942288</v>
      </c>
      <c r="G12" s="176">
        <f t="shared" si="2"/>
        <v>0.71287455197132621</v>
      </c>
      <c r="H12" s="176">
        <f t="shared" si="2"/>
        <v>0.84263959390862941</v>
      </c>
      <c r="I12" s="176">
        <f t="shared" si="2"/>
        <v>0.64829004450954986</v>
      </c>
      <c r="J12" s="176">
        <f t="shared" si="2"/>
        <v>0.43870656370656369</v>
      </c>
      <c r="K12" s="176">
        <f t="shared" si="2"/>
        <v>0.63797724969028047</v>
      </c>
      <c r="L12" s="176">
        <f>L11/L13</f>
        <v>0.50465093851643394</v>
      </c>
      <c r="M12" s="176">
        <f>M11/M13</f>
        <v>0.58758050070371481</v>
      </c>
      <c r="N12" s="170"/>
      <c r="O12" s="173"/>
    </row>
    <row r="13" spans="1:15" s="27" customFormat="1" ht="12.75" thickBot="1">
      <c r="A13" s="174" t="s">
        <v>196</v>
      </c>
      <c r="B13" s="177">
        <f>SUM(B10:B11)</f>
        <v>105977</v>
      </c>
      <c r="C13" s="177">
        <f>+SUM(C10:C11)</f>
        <v>116849</v>
      </c>
      <c r="D13" s="177">
        <f>+SUM(D10:D11)</f>
        <v>142791</v>
      </c>
      <c r="E13" s="177">
        <f>E10+E11</f>
        <v>197815</v>
      </c>
      <c r="F13" s="177">
        <f t="shared" ref="F13:K13" si="3">F10+F11</f>
        <v>179431</v>
      </c>
      <c r="G13" s="177">
        <f t="shared" si="3"/>
        <v>69750</v>
      </c>
      <c r="H13" s="177">
        <f t="shared" si="3"/>
        <v>52599</v>
      </c>
      <c r="I13" s="177">
        <f t="shared" si="3"/>
        <v>70996</v>
      </c>
      <c r="J13" s="177">
        <f t="shared" si="3"/>
        <v>55944</v>
      </c>
      <c r="K13" s="177">
        <f t="shared" si="3"/>
        <v>44395</v>
      </c>
      <c r="L13" s="177">
        <f>L10+L11</f>
        <v>114063</v>
      </c>
      <c r="M13" s="177">
        <f>M10+M11</f>
        <v>93788</v>
      </c>
      <c r="N13" s="170">
        <f t="shared" si="1"/>
        <v>1244398</v>
      </c>
      <c r="O13" s="173">
        <f t="shared" si="0"/>
        <v>103699.83333333333</v>
      </c>
    </row>
    <row r="14" spans="1:15" s="27" customFormat="1" ht="12.75" thickTop="1">
      <c r="A14" s="178"/>
      <c r="B14" s="170"/>
      <c r="C14" s="170"/>
      <c r="D14" s="170"/>
      <c r="E14" s="170"/>
      <c r="F14" s="170"/>
      <c r="G14" s="170"/>
      <c r="H14" s="170"/>
      <c r="I14" s="170">
        <f>SUM(H13:K13)</f>
        <v>223934</v>
      </c>
      <c r="J14" s="170"/>
      <c r="K14" s="170"/>
      <c r="L14" s="170"/>
      <c r="M14" s="170"/>
      <c r="N14" s="170"/>
      <c r="O14" s="173"/>
    </row>
    <row r="15" spans="1:15" s="168" customFormat="1">
      <c r="A15" s="163" t="s">
        <v>135</v>
      </c>
      <c r="B15" s="166">
        <v>40360</v>
      </c>
      <c r="C15" s="166">
        <v>40391</v>
      </c>
      <c r="D15" s="166">
        <v>40422</v>
      </c>
      <c r="E15" s="166">
        <v>40452</v>
      </c>
      <c r="F15" s="166">
        <v>40483</v>
      </c>
      <c r="G15" s="166">
        <v>40513</v>
      </c>
      <c r="H15" s="179">
        <v>40544</v>
      </c>
      <c r="I15" s="179">
        <v>40575</v>
      </c>
      <c r="J15" s="179">
        <v>40603</v>
      </c>
      <c r="K15" s="179">
        <v>40634</v>
      </c>
      <c r="L15" s="179">
        <v>40664</v>
      </c>
      <c r="M15" s="179">
        <v>40695</v>
      </c>
      <c r="N15" s="170"/>
      <c r="O15" s="173"/>
    </row>
    <row r="16" spans="1:15" s="27" customFormat="1">
      <c r="A16" s="169" t="s">
        <v>57</v>
      </c>
      <c r="B16" s="173">
        <v>43103</v>
      </c>
      <c r="C16" s="172">
        <v>55430</v>
      </c>
      <c r="D16" s="172">
        <v>52842</v>
      </c>
      <c r="E16" s="172">
        <v>59186</v>
      </c>
      <c r="F16" s="172">
        <v>61852</v>
      </c>
      <c r="G16" s="172">
        <v>19011</v>
      </c>
      <c r="H16" s="173">
        <v>14657</v>
      </c>
      <c r="I16" s="173">
        <v>9228</v>
      </c>
      <c r="J16" s="173">
        <v>17343</v>
      </c>
      <c r="K16" s="173">
        <v>10453</v>
      </c>
      <c r="L16" s="173">
        <v>35099</v>
      </c>
      <c r="M16" s="173">
        <v>35383</v>
      </c>
      <c r="N16" s="170">
        <f t="shared" si="1"/>
        <v>413587</v>
      </c>
      <c r="O16" s="173">
        <f t="shared" si="0"/>
        <v>34465.583333333336</v>
      </c>
    </row>
    <row r="17" spans="1:15" s="27" customFormat="1">
      <c r="A17" s="174" t="s">
        <v>76</v>
      </c>
      <c r="B17" s="173">
        <v>76372</v>
      </c>
      <c r="C17" s="172">
        <v>96118</v>
      </c>
      <c r="D17" s="172">
        <v>127848</v>
      </c>
      <c r="E17" s="172">
        <v>106096</v>
      </c>
      <c r="F17" s="172">
        <v>116042</v>
      </c>
      <c r="G17" s="172">
        <v>67761</v>
      </c>
      <c r="H17" s="173">
        <v>35129</v>
      </c>
      <c r="I17" s="173">
        <v>45121</v>
      </c>
      <c r="J17" s="173">
        <v>33123</v>
      </c>
      <c r="K17" s="173">
        <v>27611</v>
      </c>
      <c r="L17" s="173">
        <v>26955</v>
      </c>
      <c r="M17" s="173">
        <v>46323</v>
      </c>
      <c r="N17" s="170">
        <f t="shared" si="1"/>
        <v>804499</v>
      </c>
      <c r="O17" s="173">
        <f t="shared" si="0"/>
        <v>67041.583333333328</v>
      </c>
    </row>
    <row r="18" spans="1:15" s="27" customFormat="1" ht="15.75" customHeight="1">
      <c r="A18" s="174" t="s">
        <v>234</v>
      </c>
      <c r="B18" s="176">
        <f t="shared" ref="B18:L18" si="4">B17/B19</f>
        <v>0.63922996442770452</v>
      </c>
      <c r="C18" s="176">
        <f t="shared" si="4"/>
        <v>0.63424129648692162</v>
      </c>
      <c r="D18" s="176">
        <f t="shared" si="4"/>
        <v>0.70755437489623108</v>
      </c>
      <c r="E18" s="176">
        <f t="shared" si="4"/>
        <v>0.64190897980421335</v>
      </c>
      <c r="F18" s="176">
        <f t="shared" si="4"/>
        <v>0.65230980246663739</v>
      </c>
      <c r="G18" s="176">
        <f t="shared" si="4"/>
        <v>0.78090858802378649</v>
      </c>
      <c r="H18" s="176">
        <f t="shared" si="4"/>
        <v>0.70559996786245127</v>
      </c>
      <c r="I18" s="176">
        <f t="shared" si="4"/>
        <v>0.83020846749710209</v>
      </c>
      <c r="J18" s="176">
        <f t="shared" si="4"/>
        <v>0.6563428843181548</v>
      </c>
      <c r="K18" s="176">
        <f t="shared" si="4"/>
        <v>0.72538356452290875</v>
      </c>
      <c r="L18" s="176">
        <f t="shared" si="4"/>
        <v>0.43437973378025591</v>
      </c>
      <c r="M18" s="176">
        <f>M17/M19</f>
        <v>0.5669473478079945</v>
      </c>
      <c r="N18" s="170"/>
      <c r="O18" s="173"/>
    </row>
    <row r="19" spans="1:15" s="27" customFormat="1" ht="12.75" thickBot="1">
      <c r="A19" s="174" t="s">
        <v>196</v>
      </c>
      <c r="B19" s="177">
        <f t="shared" ref="B19:L19" si="5">B16+B17</f>
        <v>119475</v>
      </c>
      <c r="C19" s="177">
        <f t="shared" si="5"/>
        <v>151548</v>
      </c>
      <c r="D19" s="177">
        <f t="shared" si="5"/>
        <v>180690</v>
      </c>
      <c r="E19" s="177">
        <f t="shared" si="5"/>
        <v>165282</v>
      </c>
      <c r="F19" s="177">
        <f t="shared" si="5"/>
        <v>177894</v>
      </c>
      <c r="G19" s="177">
        <f t="shared" si="5"/>
        <v>86772</v>
      </c>
      <c r="H19" s="177">
        <f t="shared" si="5"/>
        <v>49786</v>
      </c>
      <c r="I19" s="177">
        <f t="shared" si="5"/>
        <v>54349</v>
      </c>
      <c r="J19" s="177">
        <f t="shared" si="5"/>
        <v>50466</v>
      </c>
      <c r="K19" s="177">
        <f t="shared" si="5"/>
        <v>38064</v>
      </c>
      <c r="L19" s="177">
        <f t="shared" si="5"/>
        <v>62054</v>
      </c>
      <c r="M19" s="177">
        <f>M16+M17</f>
        <v>81706</v>
      </c>
      <c r="N19" s="170">
        <f t="shared" si="1"/>
        <v>1218086</v>
      </c>
      <c r="O19" s="173">
        <f t="shared" si="0"/>
        <v>101507.16666666667</v>
      </c>
    </row>
    <row r="20" spans="1:15" s="27" customFormat="1" ht="12.75" thickTop="1">
      <c r="A20" s="178"/>
      <c r="B20" s="170"/>
      <c r="C20" s="170"/>
      <c r="D20" s="170"/>
      <c r="E20" s="170"/>
      <c r="F20" s="170"/>
      <c r="G20" s="170"/>
      <c r="H20" s="170"/>
      <c r="I20" s="170">
        <f>SUM(H19:K19)</f>
        <v>192665</v>
      </c>
      <c r="J20" s="170"/>
      <c r="K20" s="170"/>
      <c r="L20" s="170"/>
      <c r="M20" s="170"/>
      <c r="N20" s="170"/>
      <c r="O20" s="173"/>
    </row>
    <row r="21" spans="1:15" s="27" customFormat="1">
      <c r="A21" s="163" t="s">
        <v>135</v>
      </c>
      <c r="B21" s="179">
        <v>40725</v>
      </c>
      <c r="C21" s="180">
        <v>40756</v>
      </c>
      <c r="D21" s="180">
        <v>40787</v>
      </c>
      <c r="E21" s="180">
        <v>40817</v>
      </c>
      <c r="F21" s="180">
        <v>40848</v>
      </c>
      <c r="G21" s="180">
        <v>40878</v>
      </c>
      <c r="H21" s="180">
        <v>40909</v>
      </c>
      <c r="I21" s="180">
        <v>40940</v>
      </c>
      <c r="J21" s="180">
        <v>40969</v>
      </c>
      <c r="K21" s="180">
        <v>41000</v>
      </c>
      <c r="L21" s="180">
        <v>41030</v>
      </c>
      <c r="M21" s="180">
        <v>41061</v>
      </c>
      <c r="N21" s="170"/>
      <c r="O21" s="173"/>
    </row>
    <row r="22" spans="1:15" s="27" customFormat="1">
      <c r="A22" s="169" t="s">
        <v>57</v>
      </c>
      <c r="B22" s="173">
        <v>14787</v>
      </c>
      <c r="C22" s="170">
        <v>38067</v>
      </c>
      <c r="D22" s="170">
        <v>62314</v>
      </c>
      <c r="E22" s="170">
        <v>40535</v>
      </c>
      <c r="F22" s="170">
        <v>52018</v>
      </c>
      <c r="G22" s="170">
        <v>31865</v>
      </c>
      <c r="H22" s="170">
        <v>16451</v>
      </c>
      <c r="I22" s="170">
        <v>15495</v>
      </c>
      <c r="J22" s="170">
        <v>27073</v>
      </c>
      <c r="K22" s="170">
        <v>15647</v>
      </c>
      <c r="L22" s="170">
        <v>65679</v>
      </c>
      <c r="M22" s="170">
        <v>24761</v>
      </c>
      <c r="N22" s="170">
        <f t="shared" si="1"/>
        <v>404692</v>
      </c>
      <c r="O22" s="173">
        <f t="shared" si="0"/>
        <v>33724.333333333336</v>
      </c>
    </row>
    <row r="23" spans="1:15" s="27" customFormat="1">
      <c r="A23" s="174" t="s">
        <v>76</v>
      </c>
      <c r="B23" s="173">
        <v>46655</v>
      </c>
      <c r="C23" s="170">
        <v>92721</v>
      </c>
      <c r="D23" s="170">
        <v>105140</v>
      </c>
      <c r="E23" s="170">
        <v>95050</v>
      </c>
      <c r="F23" s="170">
        <v>104477</v>
      </c>
      <c r="G23" s="170">
        <v>63462</v>
      </c>
      <c r="H23" s="170">
        <v>46782</v>
      </c>
      <c r="I23" s="170">
        <v>33663</v>
      </c>
      <c r="J23" s="170">
        <v>32319</v>
      </c>
      <c r="K23" s="170">
        <v>38536</v>
      </c>
      <c r="L23" s="170">
        <v>41522</v>
      </c>
      <c r="M23" s="170">
        <v>61693</v>
      </c>
      <c r="N23" s="170">
        <f t="shared" si="1"/>
        <v>762020</v>
      </c>
      <c r="O23" s="173">
        <f t="shared" si="0"/>
        <v>63501.666666666664</v>
      </c>
    </row>
    <row r="24" spans="1:15" s="27" customFormat="1">
      <c r="A24" s="174" t="s">
        <v>234</v>
      </c>
      <c r="B24" s="176">
        <f t="shared" ref="B24:H24" si="6">B23/B25</f>
        <v>0.75933400605449042</v>
      </c>
      <c r="C24" s="176">
        <f t="shared" si="6"/>
        <v>0.70894118726488664</v>
      </c>
      <c r="D24" s="176">
        <f t="shared" si="6"/>
        <v>0.62787392358498451</v>
      </c>
      <c r="E24" s="176">
        <f t="shared" si="6"/>
        <v>0.7010362503226758</v>
      </c>
      <c r="F24" s="176">
        <f t="shared" si="6"/>
        <v>0.66760599380171892</v>
      </c>
      <c r="G24" s="176">
        <f t="shared" si="6"/>
        <v>0.66572954147303487</v>
      </c>
      <c r="H24" s="176">
        <f t="shared" si="6"/>
        <v>0.73983521262631857</v>
      </c>
      <c r="I24" s="176">
        <f>I23/I25</f>
        <v>0.6847918955205663</v>
      </c>
      <c r="J24" s="176">
        <f>J23/J25</f>
        <v>0.54416419719827591</v>
      </c>
      <c r="K24" s="176">
        <f>K23/K25</f>
        <v>0.71121938615432889</v>
      </c>
      <c r="L24" s="176">
        <f>L23/L25</f>
        <v>0.38732847641346629</v>
      </c>
      <c r="M24" s="176">
        <f>M23/M25</f>
        <v>0.71359335600434914</v>
      </c>
      <c r="N24" s="170"/>
      <c r="O24" s="173"/>
    </row>
    <row r="25" spans="1:15" s="27" customFormat="1" ht="12.75" thickBot="1">
      <c r="A25" s="174" t="s">
        <v>196</v>
      </c>
      <c r="B25" s="177">
        <f t="shared" ref="B25:G25" si="7">B22+B23</f>
        <v>61442</v>
      </c>
      <c r="C25" s="177">
        <f t="shared" si="7"/>
        <v>130788</v>
      </c>
      <c r="D25" s="177">
        <f t="shared" si="7"/>
        <v>167454</v>
      </c>
      <c r="E25" s="177">
        <f t="shared" si="7"/>
        <v>135585</v>
      </c>
      <c r="F25" s="177">
        <f t="shared" si="7"/>
        <v>156495</v>
      </c>
      <c r="G25" s="177">
        <f t="shared" si="7"/>
        <v>95327</v>
      </c>
      <c r="H25" s="177">
        <f t="shared" ref="H25:M25" si="8">H22+H23</f>
        <v>63233</v>
      </c>
      <c r="I25" s="177">
        <f t="shared" si="8"/>
        <v>49158</v>
      </c>
      <c r="J25" s="177">
        <f t="shared" si="8"/>
        <v>59392</v>
      </c>
      <c r="K25" s="177">
        <f t="shared" si="8"/>
        <v>54183</v>
      </c>
      <c r="L25" s="177">
        <f t="shared" si="8"/>
        <v>107201</v>
      </c>
      <c r="M25" s="177">
        <f t="shared" si="8"/>
        <v>86454</v>
      </c>
      <c r="N25" s="170">
        <f t="shared" si="1"/>
        <v>1166712</v>
      </c>
      <c r="O25" s="173">
        <f t="shared" si="0"/>
        <v>97226</v>
      </c>
    </row>
    <row r="26" spans="1:15" s="27" customFormat="1" ht="12.75" thickTop="1">
      <c r="A26" s="178"/>
      <c r="B26" s="170"/>
      <c r="C26" s="170"/>
      <c r="D26" s="170"/>
      <c r="E26" s="170"/>
      <c r="F26" s="170"/>
      <c r="G26" s="170"/>
      <c r="H26" s="170"/>
      <c r="I26" s="170">
        <f>SUM(H25:K25)</f>
        <v>225966</v>
      </c>
      <c r="J26" s="170"/>
      <c r="K26" s="170"/>
      <c r="L26" s="170"/>
      <c r="M26" s="170"/>
      <c r="N26" s="170"/>
      <c r="O26" s="173"/>
    </row>
    <row r="27" spans="1:15" s="27" customFormat="1">
      <c r="A27" s="163" t="s">
        <v>135</v>
      </c>
      <c r="B27" s="164">
        <v>41091</v>
      </c>
      <c r="C27" s="164">
        <v>41122</v>
      </c>
      <c r="D27" s="164">
        <v>41153</v>
      </c>
      <c r="E27" s="164">
        <v>41183</v>
      </c>
      <c r="F27" s="164">
        <v>41214</v>
      </c>
      <c r="G27" s="165" t="s">
        <v>244</v>
      </c>
      <c r="H27" s="165" t="s">
        <v>245</v>
      </c>
      <c r="I27" s="165" t="s">
        <v>246</v>
      </c>
      <c r="J27" s="165" t="s">
        <v>247</v>
      </c>
      <c r="K27" s="165" t="s">
        <v>248</v>
      </c>
      <c r="L27" s="166">
        <v>41395</v>
      </c>
      <c r="M27" s="166">
        <v>41426</v>
      </c>
      <c r="N27" s="170"/>
      <c r="O27" s="173"/>
    </row>
    <row r="28" spans="1:15" s="27" customFormat="1">
      <c r="A28" s="169" t="s">
        <v>57</v>
      </c>
      <c r="B28" s="170">
        <v>31549</v>
      </c>
      <c r="C28" s="170">
        <v>40441</v>
      </c>
      <c r="D28" s="170">
        <v>56012</v>
      </c>
      <c r="E28" s="170">
        <v>54403</v>
      </c>
      <c r="F28" s="171">
        <v>69052</v>
      </c>
      <c r="G28" s="170">
        <v>28487</v>
      </c>
      <c r="H28" s="170">
        <v>23540</v>
      </c>
      <c r="I28" s="170">
        <v>17452</v>
      </c>
      <c r="J28" s="170">
        <v>15058</v>
      </c>
      <c r="K28" s="170">
        <v>17308</v>
      </c>
      <c r="L28" s="172">
        <v>63782</v>
      </c>
      <c r="M28" s="173">
        <v>19451</v>
      </c>
      <c r="N28" s="170">
        <f t="shared" si="1"/>
        <v>436535</v>
      </c>
      <c r="O28" s="173">
        <f t="shared" si="0"/>
        <v>36377.916666666664</v>
      </c>
    </row>
    <row r="29" spans="1:15" s="27" customFormat="1">
      <c r="A29" s="174" t="s">
        <v>76</v>
      </c>
      <c r="B29" s="170">
        <v>91573</v>
      </c>
      <c r="C29" s="170">
        <v>94162</v>
      </c>
      <c r="D29" s="170">
        <v>116451</v>
      </c>
      <c r="E29" s="173">
        <v>136163</v>
      </c>
      <c r="F29" s="175">
        <v>118732</v>
      </c>
      <c r="G29" s="170">
        <v>100947</v>
      </c>
      <c r="H29" s="170">
        <v>56478</v>
      </c>
      <c r="I29" s="170">
        <v>45430</v>
      </c>
      <c r="J29" s="170">
        <v>29709</v>
      </c>
      <c r="K29" s="170">
        <v>37870</v>
      </c>
      <c r="L29" s="172">
        <v>84724</v>
      </c>
      <c r="M29" s="173">
        <v>67639</v>
      </c>
      <c r="N29" s="170">
        <f t="shared" si="1"/>
        <v>979878</v>
      </c>
      <c r="O29" s="173">
        <f t="shared" si="0"/>
        <v>81656.5</v>
      </c>
    </row>
    <row r="30" spans="1:15" s="27" customFormat="1">
      <c r="A30" s="174" t="s">
        <v>234</v>
      </c>
      <c r="B30" s="176">
        <f t="shared" ref="B30:H30" si="9">(B29/B31)</f>
        <v>0.7437582235506246</v>
      </c>
      <c r="C30" s="176">
        <f t="shared" si="9"/>
        <v>0.69955350177930653</v>
      </c>
      <c r="D30" s="176">
        <f t="shared" si="9"/>
        <v>0.67522309132973446</v>
      </c>
      <c r="E30" s="176">
        <f t="shared" si="9"/>
        <v>0.71451885436016915</v>
      </c>
      <c r="F30" s="176">
        <f t="shared" si="9"/>
        <v>0.63227964043794993</v>
      </c>
      <c r="G30" s="176">
        <f t="shared" si="9"/>
        <v>0.7799109971104965</v>
      </c>
      <c r="H30" s="176">
        <f t="shared" si="9"/>
        <v>0.70581619135694473</v>
      </c>
      <c r="I30" s="176">
        <f>(I29/I31)</f>
        <v>0.72246429820934444</v>
      </c>
      <c r="J30" s="176">
        <f>(J29/J31)</f>
        <v>0.66363616056470165</v>
      </c>
      <c r="K30" s="176">
        <f>(K29/K31)</f>
        <v>0.68632425966870858</v>
      </c>
      <c r="L30" s="176">
        <f>(L29/L31)</f>
        <v>0.570508935665899</v>
      </c>
      <c r="M30" s="176">
        <f>(M29/M31)</f>
        <v>0.77665633252956712</v>
      </c>
      <c r="N30" s="170"/>
      <c r="O30" s="173"/>
    </row>
    <row r="31" spans="1:15" s="27" customFormat="1" ht="12.75" thickBot="1">
      <c r="A31" s="174" t="s">
        <v>196</v>
      </c>
      <c r="B31" s="177">
        <f>SUM(B28:B29)</f>
        <v>123122</v>
      </c>
      <c r="C31" s="177">
        <f t="shared" ref="C31:H31" si="10">+SUM(C28:C29)</f>
        <v>134603</v>
      </c>
      <c r="D31" s="177">
        <f t="shared" si="10"/>
        <v>172463</v>
      </c>
      <c r="E31" s="177">
        <f t="shared" si="10"/>
        <v>190566</v>
      </c>
      <c r="F31" s="177">
        <f t="shared" si="10"/>
        <v>187784</v>
      </c>
      <c r="G31" s="177">
        <f t="shared" si="10"/>
        <v>129434</v>
      </c>
      <c r="H31" s="177">
        <f t="shared" si="10"/>
        <v>80018</v>
      </c>
      <c r="I31" s="177">
        <f>+SUM(I28:I29)</f>
        <v>62882</v>
      </c>
      <c r="J31" s="177">
        <f>+SUM(J28:J29)</f>
        <v>44767</v>
      </c>
      <c r="K31" s="177">
        <f>+SUM(K28:K29)</f>
        <v>55178</v>
      </c>
      <c r="L31" s="177">
        <f>+SUM(L28:L29)</f>
        <v>148506</v>
      </c>
      <c r="M31" s="177">
        <f>+SUM(M28:M29)</f>
        <v>87090</v>
      </c>
      <c r="N31" s="170">
        <f t="shared" si="1"/>
        <v>1416413</v>
      </c>
      <c r="O31" s="173">
        <f t="shared" si="0"/>
        <v>118034.41666666667</v>
      </c>
    </row>
    <row r="32" spans="1:15" s="27" customFormat="1" ht="12.75" thickTop="1">
      <c r="A32" s="178"/>
      <c r="B32" s="170"/>
      <c r="C32" s="170"/>
      <c r="D32" s="170"/>
      <c r="E32" s="170"/>
      <c r="F32" s="170"/>
      <c r="G32" s="170"/>
      <c r="H32" s="170"/>
      <c r="I32" s="170">
        <f>SUM(H31:K31)</f>
        <v>242845</v>
      </c>
      <c r="J32" s="170"/>
      <c r="K32" s="170"/>
      <c r="N32" s="170"/>
      <c r="O32" s="173"/>
    </row>
    <row r="33" spans="1:15" s="27" customFormat="1">
      <c r="A33" s="163" t="s">
        <v>135</v>
      </c>
      <c r="B33" s="164">
        <v>41456</v>
      </c>
      <c r="C33" s="164">
        <v>41487</v>
      </c>
      <c r="D33" s="164">
        <v>41518</v>
      </c>
      <c r="E33" s="164">
        <v>41548</v>
      </c>
      <c r="F33" s="164">
        <v>41579</v>
      </c>
      <c r="G33" s="165" t="s">
        <v>116</v>
      </c>
      <c r="H33" s="165" t="s">
        <v>115</v>
      </c>
      <c r="I33" s="165" t="s">
        <v>43</v>
      </c>
      <c r="J33" s="165" t="s">
        <v>42</v>
      </c>
      <c r="K33" s="165" t="s">
        <v>138</v>
      </c>
      <c r="L33" s="166">
        <v>41760</v>
      </c>
      <c r="M33" s="166">
        <v>41791</v>
      </c>
      <c r="N33" s="170"/>
      <c r="O33" s="173"/>
    </row>
    <row r="34" spans="1:15" s="27" customFormat="1">
      <c r="A34" s="169" t="s">
        <v>57</v>
      </c>
      <c r="B34" s="170">
        <v>39011</v>
      </c>
      <c r="C34" s="170">
        <v>43488</v>
      </c>
      <c r="D34" s="170">
        <v>60782</v>
      </c>
      <c r="E34" s="170">
        <v>54116</v>
      </c>
      <c r="F34" s="171">
        <v>67701</v>
      </c>
      <c r="G34" s="170">
        <v>28663</v>
      </c>
      <c r="H34" s="170">
        <v>19548.900000000001</v>
      </c>
      <c r="I34" s="170">
        <v>12596</v>
      </c>
      <c r="J34" s="170">
        <v>12026</v>
      </c>
      <c r="K34" s="170">
        <v>17061</v>
      </c>
      <c r="L34" s="172">
        <v>30885</v>
      </c>
      <c r="M34" s="173">
        <v>38846</v>
      </c>
      <c r="N34" s="170">
        <f t="shared" si="1"/>
        <v>424723.9</v>
      </c>
      <c r="O34" s="173">
        <f t="shared" si="0"/>
        <v>35393.658333333333</v>
      </c>
    </row>
    <row r="35" spans="1:15" s="27" customFormat="1">
      <c r="A35" s="174" t="s">
        <v>76</v>
      </c>
      <c r="B35" s="170">
        <v>82424</v>
      </c>
      <c r="C35" s="170">
        <v>82894</v>
      </c>
      <c r="D35" s="170">
        <v>99489</v>
      </c>
      <c r="E35" s="173">
        <v>98735</v>
      </c>
      <c r="F35" s="175">
        <v>147701</v>
      </c>
      <c r="G35" s="170">
        <v>82419</v>
      </c>
      <c r="H35" s="170">
        <v>58563</v>
      </c>
      <c r="I35" s="170">
        <v>42637</v>
      </c>
      <c r="J35" s="170">
        <v>35186</v>
      </c>
      <c r="K35" s="170">
        <v>31755</v>
      </c>
      <c r="L35" s="172">
        <v>65409</v>
      </c>
      <c r="M35" s="173">
        <v>57073</v>
      </c>
      <c r="N35" s="170">
        <f t="shared" si="1"/>
        <v>884285</v>
      </c>
      <c r="O35" s="173">
        <f t="shared" si="0"/>
        <v>73690.416666666672</v>
      </c>
    </row>
    <row r="36" spans="1:15" s="27" customFormat="1">
      <c r="A36" s="174" t="s">
        <v>234</v>
      </c>
      <c r="B36" s="176">
        <f t="shared" ref="B36:G36" si="11">(B35/B37)</f>
        <v>0.67874994853213655</v>
      </c>
      <c r="C36" s="176">
        <f t="shared" si="11"/>
        <v>0.65590036555838649</v>
      </c>
      <c r="D36" s="176">
        <f t="shared" si="11"/>
        <v>0.62075484647877655</v>
      </c>
      <c r="E36" s="176">
        <f t="shared" si="11"/>
        <v>0.64595586551609085</v>
      </c>
      <c r="F36" s="176">
        <f t="shared" si="11"/>
        <v>0.68569929712816036</v>
      </c>
      <c r="G36" s="176">
        <f t="shared" si="11"/>
        <v>0.74196539493347258</v>
      </c>
      <c r="H36" s="176">
        <f t="shared" ref="H36:M36" si="12">(H35/H37)</f>
        <v>0.74973211508105686</v>
      </c>
      <c r="I36" s="176">
        <f t="shared" si="12"/>
        <v>0.77194792967972048</v>
      </c>
      <c r="J36" s="176">
        <f t="shared" si="12"/>
        <v>0.74527662458696942</v>
      </c>
      <c r="K36" s="176">
        <f t="shared" si="12"/>
        <v>0.65050393313667654</v>
      </c>
      <c r="L36" s="176">
        <f t="shared" si="12"/>
        <v>0.67926350551436232</v>
      </c>
      <c r="M36" s="176">
        <f t="shared" si="12"/>
        <v>0.59501245842846573</v>
      </c>
      <c r="N36" s="170"/>
      <c r="O36" s="173"/>
    </row>
    <row r="37" spans="1:15" s="27" customFormat="1" ht="12.75" thickBot="1">
      <c r="A37" s="174" t="s">
        <v>196</v>
      </c>
      <c r="B37" s="177">
        <f t="shared" ref="B37:G37" si="13">SUM(B34:B35)</f>
        <v>121435</v>
      </c>
      <c r="C37" s="177">
        <f t="shared" si="13"/>
        <v>126382</v>
      </c>
      <c r="D37" s="177">
        <f t="shared" si="13"/>
        <v>160271</v>
      </c>
      <c r="E37" s="177">
        <f t="shared" si="13"/>
        <v>152851</v>
      </c>
      <c r="F37" s="177">
        <f t="shared" si="13"/>
        <v>215402</v>
      </c>
      <c r="G37" s="177">
        <f t="shared" si="13"/>
        <v>111082</v>
      </c>
      <c r="H37" s="177">
        <f t="shared" ref="H37:M37" si="14">SUM(H34:H35)</f>
        <v>78111.899999999994</v>
      </c>
      <c r="I37" s="177">
        <f t="shared" si="14"/>
        <v>55233</v>
      </c>
      <c r="J37" s="177">
        <f t="shared" si="14"/>
        <v>47212</v>
      </c>
      <c r="K37" s="177">
        <f t="shared" si="14"/>
        <v>48816</v>
      </c>
      <c r="L37" s="177">
        <f t="shared" si="14"/>
        <v>96294</v>
      </c>
      <c r="M37" s="177">
        <f t="shared" si="14"/>
        <v>95919</v>
      </c>
      <c r="N37" s="170">
        <f t="shared" si="1"/>
        <v>1309008.8999999999</v>
      </c>
      <c r="O37" s="173">
        <f t="shared" si="0"/>
        <v>109084.075</v>
      </c>
    </row>
    <row r="38" spans="1:15" s="27" customFormat="1" ht="12.75" thickTop="1">
      <c r="A38" s="178"/>
      <c r="B38" s="170"/>
      <c r="C38" s="170"/>
      <c r="D38" s="170"/>
      <c r="E38" s="170"/>
      <c r="F38" s="170"/>
      <c r="G38" s="170"/>
      <c r="H38" s="170"/>
      <c r="I38" s="170">
        <f>SUM(H37:K37)</f>
        <v>229372.9</v>
      </c>
      <c r="J38" s="170"/>
      <c r="K38" s="170"/>
      <c r="N38" s="170"/>
      <c r="O38" s="173"/>
    </row>
    <row r="39" spans="1:15" s="27" customFormat="1">
      <c r="A39" s="163" t="s">
        <v>135</v>
      </c>
      <c r="B39" s="164">
        <v>41821</v>
      </c>
      <c r="C39" s="164">
        <v>41852</v>
      </c>
      <c r="D39" s="164">
        <v>41883</v>
      </c>
      <c r="E39" s="164">
        <v>41913</v>
      </c>
      <c r="F39" s="164">
        <v>41944</v>
      </c>
      <c r="G39" s="164">
        <v>41974</v>
      </c>
      <c r="H39" s="164">
        <v>42005</v>
      </c>
      <c r="I39" s="164">
        <v>42036</v>
      </c>
      <c r="J39" s="164">
        <v>42064</v>
      </c>
      <c r="K39" s="164">
        <v>42095</v>
      </c>
      <c r="L39" s="164">
        <v>42125</v>
      </c>
      <c r="M39" s="164">
        <v>42156</v>
      </c>
      <c r="N39" s="170"/>
      <c r="O39" s="173"/>
    </row>
    <row r="40" spans="1:15" s="27" customFormat="1">
      <c r="A40" s="169" t="s">
        <v>57</v>
      </c>
      <c r="B40" s="170">
        <v>37556</v>
      </c>
      <c r="C40" s="170">
        <v>40228</v>
      </c>
      <c r="D40" s="170">
        <v>55807</v>
      </c>
      <c r="E40" s="170">
        <v>80282</v>
      </c>
      <c r="F40" s="170">
        <v>65280</v>
      </c>
      <c r="G40" s="170">
        <v>31249</v>
      </c>
      <c r="H40" s="170">
        <v>18329</v>
      </c>
      <c r="I40" s="170">
        <v>18178</v>
      </c>
      <c r="J40" s="170">
        <v>12028</v>
      </c>
      <c r="K40" s="170">
        <v>24044</v>
      </c>
      <c r="L40" s="172">
        <v>21994</v>
      </c>
      <c r="M40" s="173">
        <v>68091</v>
      </c>
      <c r="N40" s="170">
        <f t="shared" si="1"/>
        <v>473066</v>
      </c>
      <c r="O40" s="173">
        <f t="shared" si="0"/>
        <v>39422.166666666664</v>
      </c>
    </row>
    <row r="41" spans="1:15" s="27" customFormat="1">
      <c r="A41" s="174" t="s">
        <v>76</v>
      </c>
      <c r="B41" s="170">
        <v>79017</v>
      </c>
      <c r="C41" s="170">
        <v>94958</v>
      </c>
      <c r="D41" s="170">
        <v>115071</v>
      </c>
      <c r="E41" s="173">
        <v>149497</v>
      </c>
      <c r="F41" s="173">
        <v>127527</v>
      </c>
      <c r="G41" s="170">
        <v>87608</v>
      </c>
      <c r="H41" s="170">
        <v>50557</v>
      </c>
      <c r="I41" s="170">
        <v>48515</v>
      </c>
      <c r="J41" s="170">
        <v>28872</v>
      </c>
      <c r="K41" s="170">
        <v>52393</v>
      </c>
      <c r="L41" s="172">
        <v>53663</v>
      </c>
      <c r="M41" s="173">
        <v>59081</v>
      </c>
      <c r="N41" s="170">
        <f t="shared" si="1"/>
        <v>946759</v>
      </c>
      <c r="O41" s="173">
        <f t="shared" si="0"/>
        <v>78896.583333333328</v>
      </c>
    </row>
    <row r="42" spans="1:15" s="27" customFormat="1">
      <c r="A42" s="174" t="s">
        <v>234</v>
      </c>
      <c r="B42" s="176">
        <f t="shared" ref="B42:G42" si="15">(B41/B43)</f>
        <v>0.67783277431309141</v>
      </c>
      <c r="C42" s="176">
        <f t="shared" si="15"/>
        <v>0.70242480730253132</v>
      </c>
      <c r="D42" s="176">
        <f t="shared" si="15"/>
        <v>0.67341026931494985</v>
      </c>
      <c r="E42" s="176">
        <f t="shared" si="15"/>
        <v>0.65061210989690088</v>
      </c>
      <c r="F42" s="176">
        <f t="shared" si="15"/>
        <v>0.66142308111220027</v>
      </c>
      <c r="G42" s="176">
        <f t="shared" si="15"/>
        <v>0.7370874243839235</v>
      </c>
      <c r="H42" s="176">
        <f t="shared" ref="H42:M42" si="16">(H41/H43)</f>
        <v>0.73392271288795985</v>
      </c>
      <c r="I42" s="176">
        <f t="shared" si="16"/>
        <v>0.72743766212346128</v>
      </c>
      <c r="J42" s="176">
        <f t="shared" si="16"/>
        <v>0.70591687041564788</v>
      </c>
      <c r="K42" s="176">
        <f t="shared" si="16"/>
        <v>0.68544029723824851</v>
      </c>
      <c r="L42" s="176">
        <f t="shared" si="16"/>
        <v>0.70929325772896101</v>
      </c>
      <c r="M42" s="176">
        <f t="shared" si="16"/>
        <v>0.46457553549523478</v>
      </c>
      <c r="N42" s="170"/>
      <c r="O42" s="173"/>
    </row>
    <row r="43" spans="1:15" s="27" customFormat="1" ht="12.75" thickBot="1">
      <c r="A43" s="174" t="s">
        <v>196</v>
      </c>
      <c r="B43" s="177">
        <f t="shared" ref="B43:G43" si="17">SUM(B40:B41)</f>
        <v>116573</v>
      </c>
      <c r="C43" s="177">
        <f t="shared" si="17"/>
        <v>135186</v>
      </c>
      <c r="D43" s="177">
        <f t="shared" si="17"/>
        <v>170878</v>
      </c>
      <c r="E43" s="177">
        <f t="shared" si="17"/>
        <v>229779</v>
      </c>
      <c r="F43" s="177">
        <f t="shared" si="17"/>
        <v>192807</v>
      </c>
      <c r="G43" s="177">
        <f t="shared" si="17"/>
        <v>118857</v>
      </c>
      <c r="H43" s="177">
        <f t="shared" ref="H43:M43" si="18">SUM(H40:H41)</f>
        <v>68886</v>
      </c>
      <c r="I43" s="177">
        <f t="shared" si="18"/>
        <v>66693</v>
      </c>
      <c r="J43" s="177">
        <f t="shared" si="18"/>
        <v>40900</v>
      </c>
      <c r="K43" s="177">
        <f t="shared" si="18"/>
        <v>76437</v>
      </c>
      <c r="L43" s="177">
        <f t="shared" si="18"/>
        <v>75657</v>
      </c>
      <c r="M43" s="177">
        <f t="shared" si="18"/>
        <v>127172</v>
      </c>
      <c r="N43" s="170">
        <f t="shared" si="1"/>
        <v>1419825</v>
      </c>
      <c r="O43" s="173">
        <f t="shared" si="0"/>
        <v>118318.75</v>
      </c>
    </row>
    <row r="44" spans="1:15" s="27" customFormat="1" ht="12.75" thickTop="1">
      <c r="A44" s="178"/>
      <c r="B44" s="170"/>
      <c r="C44" s="170"/>
      <c r="D44" s="170"/>
      <c r="E44" s="170"/>
      <c r="F44" s="170"/>
      <c r="G44" s="170"/>
      <c r="H44" s="170"/>
      <c r="I44" s="170">
        <f>SUM(H43:K43)</f>
        <v>252916</v>
      </c>
      <c r="J44" s="170"/>
      <c r="K44" s="170"/>
      <c r="N44" s="170"/>
      <c r="O44" s="173"/>
    </row>
    <row r="45" spans="1:15" s="27" customFormat="1">
      <c r="A45" s="163" t="s">
        <v>135</v>
      </c>
      <c r="B45" s="164">
        <v>42186</v>
      </c>
      <c r="C45" s="164">
        <v>42217</v>
      </c>
      <c r="D45" s="164">
        <v>42248</v>
      </c>
      <c r="E45" s="164">
        <v>42278</v>
      </c>
      <c r="F45" s="164">
        <v>42309</v>
      </c>
      <c r="G45" s="164">
        <v>42339</v>
      </c>
      <c r="H45" s="164">
        <v>42370</v>
      </c>
      <c r="I45" s="164">
        <v>42401</v>
      </c>
      <c r="J45" s="164">
        <v>42430</v>
      </c>
      <c r="K45" s="164">
        <v>42461</v>
      </c>
      <c r="L45" s="164">
        <v>42491</v>
      </c>
      <c r="M45" s="164">
        <v>42522</v>
      </c>
      <c r="N45" s="170"/>
      <c r="O45" s="173"/>
    </row>
    <row r="46" spans="1:15" s="27" customFormat="1">
      <c r="A46" s="169" t="s">
        <v>57</v>
      </c>
      <c r="B46" s="170">
        <v>35759</v>
      </c>
      <c r="C46" s="170">
        <v>37494</v>
      </c>
      <c r="D46" s="170">
        <v>59252</v>
      </c>
      <c r="E46" s="170">
        <v>88264</v>
      </c>
      <c r="F46" s="170">
        <v>96573</v>
      </c>
      <c r="G46" s="170">
        <v>20383</v>
      </c>
      <c r="H46" s="170">
        <v>15217</v>
      </c>
      <c r="I46" s="170">
        <v>26289</v>
      </c>
      <c r="J46" s="170">
        <v>18034</v>
      </c>
      <c r="K46" s="170">
        <v>13678</v>
      </c>
      <c r="L46" s="172">
        <v>23489</v>
      </c>
      <c r="M46" s="173">
        <v>28420.7</v>
      </c>
      <c r="N46" s="170">
        <f t="shared" si="1"/>
        <v>462852.7</v>
      </c>
      <c r="O46" s="173">
        <f t="shared" si="0"/>
        <v>38571.058333333334</v>
      </c>
    </row>
    <row r="47" spans="1:15" s="27" customFormat="1">
      <c r="A47" s="174" t="s">
        <v>76</v>
      </c>
      <c r="B47" s="170">
        <v>82043</v>
      </c>
      <c r="C47" s="170">
        <v>101617</v>
      </c>
      <c r="D47" s="170">
        <v>118692</v>
      </c>
      <c r="E47" s="173">
        <v>123985</v>
      </c>
      <c r="F47" s="173">
        <v>101223</v>
      </c>
      <c r="G47" s="170">
        <v>57545</v>
      </c>
      <c r="H47" s="170">
        <v>35428</v>
      </c>
      <c r="I47" s="170">
        <v>50400</v>
      </c>
      <c r="J47" s="170">
        <v>26835</v>
      </c>
      <c r="K47" s="170">
        <v>22555</v>
      </c>
      <c r="L47" s="172">
        <v>52797</v>
      </c>
      <c r="M47" s="173">
        <v>46104</v>
      </c>
      <c r="N47" s="170">
        <f t="shared" si="1"/>
        <v>819224</v>
      </c>
      <c r="O47" s="173">
        <f t="shared" si="0"/>
        <v>68268.666666666672</v>
      </c>
    </row>
    <row r="48" spans="1:15" s="27" customFormat="1">
      <c r="A48" s="174" t="s">
        <v>234</v>
      </c>
      <c r="B48" s="176">
        <f t="shared" ref="B48:M48" si="19">(B47/B49)</f>
        <v>0.69644827761837658</v>
      </c>
      <c r="C48" s="176">
        <f t="shared" si="19"/>
        <v>0.73047422561839104</v>
      </c>
      <c r="D48" s="176">
        <f t="shared" si="19"/>
        <v>0.66701883738704315</v>
      </c>
      <c r="E48" s="176">
        <f t="shared" si="19"/>
        <v>0.58414880635480027</v>
      </c>
      <c r="F48" s="176">
        <f t="shared" si="19"/>
        <v>0.51175453497542922</v>
      </c>
      <c r="G48" s="176">
        <f t="shared" si="19"/>
        <v>0.73843804537521818</v>
      </c>
      <c r="H48" s="176">
        <f t="shared" si="19"/>
        <v>0.69953598578339427</v>
      </c>
      <c r="I48" s="176">
        <f t="shared" si="19"/>
        <v>0.65719985917145873</v>
      </c>
      <c r="J48" s="176">
        <f t="shared" si="19"/>
        <v>0.59807439434799081</v>
      </c>
      <c r="K48" s="176">
        <f t="shared" si="19"/>
        <v>0.62249882703612724</v>
      </c>
      <c r="L48" s="176">
        <f t="shared" si="19"/>
        <v>0.69209291350968727</v>
      </c>
      <c r="M48" s="176">
        <f t="shared" si="19"/>
        <v>0.61864053126010576</v>
      </c>
      <c r="N48" s="170"/>
      <c r="O48" s="173"/>
    </row>
    <row r="49" spans="1:18" s="27" customFormat="1" ht="12.75" thickBot="1">
      <c r="A49" s="174" t="s">
        <v>196</v>
      </c>
      <c r="B49" s="177">
        <f t="shared" ref="B49:M49" si="20">SUM(B46:B47)</f>
        <v>117802</v>
      </c>
      <c r="C49" s="177">
        <f t="shared" si="20"/>
        <v>139111</v>
      </c>
      <c r="D49" s="177">
        <f t="shared" si="20"/>
        <v>177944</v>
      </c>
      <c r="E49" s="177">
        <f t="shared" si="20"/>
        <v>212249</v>
      </c>
      <c r="F49" s="177">
        <f t="shared" si="20"/>
        <v>197796</v>
      </c>
      <c r="G49" s="177">
        <f t="shared" si="20"/>
        <v>77928</v>
      </c>
      <c r="H49" s="177">
        <f t="shared" si="20"/>
        <v>50645</v>
      </c>
      <c r="I49" s="177">
        <f t="shared" si="20"/>
        <v>76689</v>
      </c>
      <c r="J49" s="177">
        <f t="shared" si="20"/>
        <v>44869</v>
      </c>
      <c r="K49" s="177">
        <f t="shared" si="20"/>
        <v>36233</v>
      </c>
      <c r="L49" s="177">
        <f t="shared" si="20"/>
        <v>76286</v>
      </c>
      <c r="M49" s="177">
        <f t="shared" si="20"/>
        <v>74524.7</v>
      </c>
      <c r="N49" s="170">
        <f t="shared" si="1"/>
        <v>1282076.7</v>
      </c>
      <c r="O49" s="173">
        <f t="shared" si="0"/>
        <v>106839.72499999999</v>
      </c>
    </row>
    <row r="50" spans="1:18" s="27" customFormat="1" ht="12.75" thickTop="1">
      <c r="A50" s="178"/>
      <c r="B50" s="170"/>
      <c r="C50" s="170"/>
      <c r="D50" s="170"/>
      <c r="E50" s="170"/>
      <c r="F50" s="170"/>
      <c r="G50" s="170"/>
      <c r="H50" s="170"/>
      <c r="I50" s="170">
        <f>SUM(H49:K49)</f>
        <v>208436</v>
      </c>
      <c r="J50" s="170"/>
      <c r="K50" s="170"/>
      <c r="N50" s="170"/>
      <c r="O50" s="173"/>
    </row>
    <row r="51" spans="1:18" s="27" customFormat="1">
      <c r="A51" s="163" t="s">
        <v>135</v>
      </c>
      <c r="B51" s="164">
        <v>42567</v>
      </c>
      <c r="C51" s="164">
        <v>42598</v>
      </c>
      <c r="D51" s="164">
        <v>42629</v>
      </c>
      <c r="E51" s="164">
        <v>42659</v>
      </c>
      <c r="F51" s="164">
        <v>42690</v>
      </c>
      <c r="G51" s="164">
        <v>42720</v>
      </c>
      <c r="H51" s="164">
        <v>42751</v>
      </c>
      <c r="I51" s="164">
        <v>42782</v>
      </c>
      <c r="J51" s="164">
        <v>42810</v>
      </c>
      <c r="K51" s="164">
        <v>42841</v>
      </c>
      <c r="L51" s="164">
        <v>42871</v>
      </c>
      <c r="M51" s="164">
        <v>42902</v>
      </c>
      <c r="N51" s="170"/>
      <c r="O51" s="173"/>
    </row>
    <row r="52" spans="1:18" s="27" customFormat="1">
      <c r="A52" s="169" t="s">
        <v>57</v>
      </c>
      <c r="B52" s="170">
        <v>22307</v>
      </c>
      <c r="C52" s="170">
        <v>40594</v>
      </c>
      <c r="D52" s="170">
        <v>38857</v>
      </c>
      <c r="E52" s="170">
        <v>66633</v>
      </c>
      <c r="F52" s="170">
        <v>76127</v>
      </c>
      <c r="G52" s="170">
        <v>28380</v>
      </c>
      <c r="H52" s="170">
        <v>27710</v>
      </c>
      <c r="I52" s="170">
        <v>22140</v>
      </c>
      <c r="J52" s="170">
        <v>17434.900000000001</v>
      </c>
      <c r="K52" s="170">
        <v>14910</v>
      </c>
      <c r="L52" s="172">
        <v>16940</v>
      </c>
      <c r="M52" s="173">
        <v>10640</v>
      </c>
      <c r="N52" s="170">
        <f t="shared" si="1"/>
        <v>382672.9</v>
      </c>
      <c r="O52" s="173">
        <f t="shared" si="0"/>
        <v>31889.408333333336</v>
      </c>
    </row>
    <row r="53" spans="1:18" s="27" customFormat="1">
      <c r="A53" s="174" t="s">
        <v>76</v>
      </c>
      <c r="B53" s="170">
        <v>57028</v>
      </c>
      <c r="C53" s="170">
        <v>101027</v>
      </c>
      <c r="D53" s="170">
        <v>87977</v>
      </c>
      <c r="E53" s="170">
        <v>101176</v>
      </c>
      <c r="F53" s="173">
        <v>115750</v>
      </c>
      <c r="G53" s="170">
        <v>67306</v>
      </c>
      <c r="H53" s="170">
        <v>57878</v>
      </c>
      <c r="I53" s="170">
        <v>48564</v>
      </c>
      <c r="J53" s="170">
        <v>38899</v>
      </c>
      <c r="K53" s="170">
        <v>33316</v>
      </c>
      <c r="L53" s="172">
        <v>54516</v>
      </c>
      <c r="M53" s="173">
        <v>31674</v>
      </c>
      <c r="N53" s="170">
        <f t="shared" si="1"/>
        <v>795111</v>
      </c>
      <c r="O53" s="173">
        <f t="shared" si="0"/>
        <v>66259.25</v>
      </c>
    </row>
    <row r="54" spans="1:18" s="27" customFormat="1">
      <c r="A54" s="174" t="s">
        <v>234</v>
      </c>
      <c r="B54" s="176">
        <f t="shared" ref="B54:G54" si="21">(B53/B55)</f>
        <v>0.71882523476397553</v>
      </c>
      <c r="C54" s="176">
        <f t="shared" si="21"/>
        <v>0.71336171895410994</v>
      </c>
      <c r="D54" s="176">
        <f t="shared" si="21"/>
        <v>0.69363892962454865</v>
      </c>
      <c r="E54" s="176">
        <f t="shared" si="21"/>
        <v>0.6029235619066915</v>
      </c>
      <c r="F54" s="176">
        <f t="shared" si="21"/>
        <v>0.60325104103149418</v>
      </c>
      <c r="G54" s="176">
        <f t="shared" si="21"/>
        <v>0.70340488681729829</v>
      </c>
      <c r="H54" s="176">
        <f t="shared" ref="H54:M54" si="22">(H53/H55)</f>
        <v>0.67623965976538769</v>
      </c>
      <c r="I54" s="176">
        <f t="shared" si="22"/>
        <v>0.68686354378818737</v>
      </c>
      <c r="J54" s="176">
        <f t="shared" si="22"/>
        <v>0.69050784696248613</v>
      </c>
      <c r="K54" s="176">
        <f t="shared" si="22"/>
        <v>0.69083067225148265</v>
      </c>
      <c r="L54" s="176">
        <f t="shared" si="22"/>
        <v>0.76293103448275867</v>
      </c>
      <c r="M54" s="176">
        <f t="shared" si="22"/>
        <v>0.74854658032802379</v>
      </c>
      <c r="N54" s="170"/>
      <c r="O54" s="173"/>
    </row>
    <row r="55" spans="1:18" s="27" customFormat="1" ht="12.75" thickBot="1">
      <c r="A55" s="174" t="s">
        <v>196</v>
      </c>
      <c r="B55" s="177">
        <f t="shared" ref="B55:G55" si="23">SUM(B52:B53)</f>
        <v>79335</v>
      </c>
      <c r="C55" s="177">
        <f t="shared" si="23"/>
        <v>141621</v>
      </c>
      <c r="D55" s="177">
        <f t="shared" si="23"/>
        <v>126834</v>
      </c>
      <c r="E55" s="177">
        <f t="shared" si="23"/>
        <v>167809</v>
      </c>
      <c r="F55" s="177">
        <f t="shared" si="23"/>
        <v>191877</v>
      </c>
      <c r="G55" s="177">
        <f t="shared" si="23"/>
        <v>95686</v>
      </c>
      <c r="H55" s="177">
        <f t="shared" ref="H55:M55" si="24">SUM(H52:H53)</f>
        <v>85588</v>
      </c>
      <c r="I55" s="177">
        <f t="shared" si="24"/>
        <v>70704</v>
      </c>
      <c r="J55" s="177">
        <f t="shared" si="24"/>
        <v>56333.9</v>
      </c>
      <c r="K55" s="177">
        <f t="shared" si="24"/>
        <v>48226</v>
      </c>
      <c r="L55" s="177">
        <f t="shared" si="24"/>
        <v>71456</v>
      </c>
      <c r="M55" s="177">
        <f t="shared" si="24"/>
        <v>42314</v>
      </c>
      <c r="N55" s="170">
        <f t="shared" si="1"/>
        <v>1177783.8999999999</v>
      </c>
      <c r="O55" s="173">
        <f t="shared" si="0"/>
        <v>98148.658333333326</v>
      </c>
    </row>
    <row r="56" spans="1:18" s="27" customFormat="1" ht="12.75" thickTop="1">
      <c r="A56" s="178"/>
      <c r="B56" s="170"/>
      <c r="C56" s="170"/>
      <c r="D56" s="170"/>
      <c r="E56" s="170"/>
      <c r="F56" s="170"/>
      <c r="G56" s="170"/>
      <c r="H56" s="170"/>
      <c r="I56" s="170">
        <f>SUM(H55:K55)</f>
        <v>260851.9</v>
      </c>
      <c r="J56" s="170"/>
      <c r="K56" s="170"/>
      <c r="L56" s="170"/>
      <c r="M56" s="170"/>
      <c r="N56" s="170"/>
      <c r="O56" s="173"/>
    </row>
    <row r="57" spans="1:18" s="27" customFormat="1" ht="12.75">
      <c r="A57" s="163" t="s">
        <v>135</v>
      </c>
      <c r="B57" s="164">
        <v>42933</v>
      </c>
      <c r="C57" s="164">
        <v>42964</v>
      </c>
      <c r="D57" s="164">
        <v>42995</v>
      </c>
      <c r="E57" s="164">
        <v>43025</v>
      </c>
      <c r="F57" s="164">
        <v>43056</v>
      </c>
      <c r="G57" s="164">
        <v>43086</v>
      </c>
      <c r="H57" s="164">
        <v>43117</v>
      </c>
      <c r="I57" s="164">
        <v>43148</v>
      </c>
      <c r="J57" s="164">
        <v>43176</v>
      </c>
      <c r="K57" s="164">
        <v>43207</v>
      </c>
      <c r="L57" s="164">
        <v>43237</v>
      </c>
      <c r="M57" s="164">
        <v>43268</v>
      </c>
      <c r="N57" s="170"/>
      <c r="O57" s="173"/>
      <c r="R57"/>
    </row>
    <row r="58" spans="1:18" s="27" customFormat="1">
      <c r="A58" s="169" t="s">
        <v>57</v>
      </c>
      <c r="B58" s="170">
        <v>26894</v>
      </c>
      <c r="C58" s="170">
        <v>53065</v>
      </c>
      <c r="D58" s="170">
        <v>49961</v>
      </c>
      <c r="E58" s="170">
        <v>74199</v>
      </c>
      <c r="F58" s="170">
        <v>81649</v>
      </c>
      <c r="G58" s="170">
        <v>25959</v>
      </c>
      <c r="H58" s="170">
        <v>35629</v>
      </c>
      <c r="I58" s="170">
        <v>13978</v>
      </c>
      <c r="J58" s="170">
        <v>18144</v>
      </c>
      <c r="K58" s="170">
        <v>15302</v>
      </c>
      <c r="L58" s="172">
        <v>25181</v>
      </c>
      <c r="M58" s="173">
        <v>21386</v>
      </c>
      <c r="N58" s="170">
        <f t="shared" si="1"/>
        <v>441347</v>
      </c>
      <c r="O58" s="173">
        <f t="shared" si="0"/>
        <v>36778.916666666664</v>
      </c>
    </row>
    <row r="59" spans="1:18" s="27" customFormat="1">
      <c r="A59" s="174" t="s">
        <v>76</v>
      </c>
      <c r="B59" s="170">
        <v>58322</v>
      </c>
      <c r="C59" s="170">
        <v>70356</v>
      </c>
      <c r="D59" s="170">
        <v>92585</v>
      </c>
      <c r="E59" s="170">
        <v>120282</v>
      </c>
      <c r="F59" s="173">
        <v>123636</v>
      </c>
      <c r="G59" s="170">
        <v>75667</v>
      </c>
      <c r="H59" s="170">
        <v>61811</v>
      </c>
      <c r="I59" s="170">
        <v>48301</v>
      </c>
      <c r="J59" s="170">
        <v>55040</v>
      </c>
      <c r="K59" s="170">
        <v>32073</v>
      </c>
      <c r="L59" s="172">
        <v>47077</v>
      </c>
      <c r="M59" s="173">
        <v>52216</v>
      </c>
      <c r="N59" s="170">
        <f t="shared" si="1"/>
        <v>837366</v>
      </c>
      <c r="O59" s="173">
        <f t="shared" si="0"/>
        <v>69780.5</v>
      </c>
    </row>
    <row r="60" spans="1:18" s="27" customFormat="1">
      <c r="A60" s="174" t="s">
        <v>234</v>
      </c>
      <c r="B60" s="176">
        <f t="shared" ref="B60:G60" si="25">(B59/B61)</f>
        <v>0.68440199023657533</v>
      </c>
      <c r="C60" s="176">
        <f t="shared" si="25"/>
        <v>0.5700488571636918</v>
      </c>
      <c r="D60" s="176">
        <f t="shared" si="25"/>
        <v>0.64950963197844902</v>
      </c>
      <c r="E60" s="176">
        <f t="shared" si="25"/>
        <v>0.61847686920573219</v>
      </c>
      <c r="F60" s="176">
        <f t="shared" si="25"/>
        <v>0.60226514358087535</v>
      </c>
      <c r="G60" s="176">
        <f t="shared" si="25"/>
        <v>0.74456339913014391</v>
      </c>
      <c r="H60" s="176">
        <f t="shared" ref="H60:M60" si="26">(H59/H61)</f>
        <v>0.63434934318555003</v>
      </c>
      <c r="I60" s="176">
        <f t="shared" si="26"/>
        <v>0.77555837441192055</v>
      </c>
      <c r="J60" s="176">
        <f t="shared" si="26"/>
        <v>0.7520769567118496</v>
      </c>
      <c r="K60" s="176">
        <f t="shared" si="26"/>
        <v>0.67700263852242748</v>
      </c>
      <c r="L60" s="176">
        <f t="shared" si="26"/>
        <v>0.65151263527913861</v>
      </c>
      <c r="M60" s="176">
        <f t="shared" si="26"/>
        <v>0.70943724355316429</v>
      </c>
      <c r="N60" s="170"/>
      <c r="O60" s="173"/>
    </row>
    <row r="61" spans="1:18" s="27" customFormat="1" ht="12.75" thickBot="1">
      <c r="A61" s="174" t="s">
        <v>196</v>
      </c>
      <c r="B61" s="177">
        <f t="shared" ref="B61:G61" si="27">SUM(B58:B59)</f>
        <v>85216</v>
      </c>
      <c r="C61" s="177">
        <f t="shared" si="27"/>
        <v>123421</v>
      </c>
      <c r="D61" s="177">
        <f t="shared" si="27"/>
        <v>142546</v>
      </c>
      <c r="E61" s="177">
        <f t="shared" si="27"/>
        <v>194481</v>
      </c>
      <c r="F61" s="177">
        <f t="shared" si="27"/>
        <v>205285</v>
      </c>
      <c r="G61" s="177">
        <f t="shared" si="27"/>
        <v>101626</v>
      </c>
      <c r="H61" s="177">
        <f t="shared" ref="H61:M61" si="28">SUM(H58:H59)</f>
        <v>97440</v>
      </c>
      <c r="I61" s="177">
        <f t="shared" si="28"/>
        <v>62279</v>
      </c>
      <c r="J61" s="177">
        <f t="shared" si="28"/>
        <v>73184</v>
      </c>
      <c r="K61" s="177">
        <f t="shared" si="28"/>
        <v>47375</v>
      </c>
      <c r="L61" s="177">
        <f t="shared" si="28"/>
        <v>72258</v>
      </c>
      <c r="M61" s="177">
        <f t="shared" si="28"/>
        <v>73602</v>
      </c>
      <c r="N61" s="170">
        <f t="shared" si="1"/>
        <v>1278713</v>
      </c>
      <c r="O61" s="173">
        <f t="shared" si="0"/>
        <v>106559.41666666667</v>
      </c>
    </row>
    <row r="62" spans="1:18" s="27" customFormat="1" ht="12.75" thickTop="1">
      <c r="A62" s="178"/>
      <c r="B62" s="170"/>
      <c r="C62" s="170"/>
      <c r="D62" s="170"/>
      <c r="E62" s="170"/>
      <c r="F62" s="170"/>
      <c r="G62" s="170"/>
      <c r="H62" s="170"/>
      <c r="I62" s="170">
        <f>SUM(H61:K61)</f>
        <v>280278</v>
      </c>
      <c r="J62" s="170"/>
      <c r="K62" s="170"/>
      <c r="L62" s="170"/>
      <c r="M62" s="170"/>
      <c r="N62" s="170"/>
      <c r="O62" s="173"/>
    </row>
    <row r="63" spans="1:18" s="27" customFormat="1">
      <c r="A63" s="163" t="s">
        <v>135</v>
      </c>
      <c r="B63" s="164">
        <v>43282</v>
      </c>
      <c r="C63" s="164">
        <v>43313</v>
      </c>
      <c r="D63" s="164">
        <v>43344</v>
      </c>
      <c r="E63" s="164">
        <v>43374</v>
      </c>
      <c r="F63" s="164">
        <v>43405</v>
      </c>
      <c r="G63" s="164">
        <v>43435</v>
      </c>
      <c r="H63" s="164">
        <v>43466</v>
      </c>
      <c r="I63" s="164">
        <v>43497</v>
      </c>
      <c r="J63" s="164">
        <v>43525</v>
      </c>
      <c r="K63" s="164">
        <v>43556</v>
      </c>
      <c r="L63" s="164">
        <v>43586</v>
      </c>
      <c r="M63" s="164">
        <v>43617</v>
      </c>
      <c r="N63" s="170"/>
      <c r="O63" s="173"/>
    </row>
    <row r="64" spans="1:18" s="27" customFormat="1">
      <c r="A64" s="169" t="s">
        <v>57</v>
      </c>
      <c r="B64" s="170">
        <v>27361</v>
      </c>
      <c r="C64" s="170">
        <v>44415</v>
      </c>
      <c r="D64" s="170">
        <v>43289</v>
      </c>
      <c r="E64" s="170">
        <v>77758</v>
      </c>
      <c r="F64" s="170">
        <v>57739</v>
      </c>
      <c r="G64" s="170">
        <v>26245</v>
      </c>
      <c r="H64" s="170">
        <v>26490</v>
      </c>
      <c r="I64" s="170">
        <v>18952</v>
      </c>
      <c r="J64" s="170">
        <v>15144</v>
      </c>
      <c r="K64" s="170">
        <v>25891</v>
      </c>
      <c r="L64" s="172">
        <v>17323</v>
      </c>
      <c r="M64" s="173">
        <v>23556</v>
      </c>
      <c r="N64" s="170">
        <f t="shared" si="1"/>
        <v>404163</v>
      </c>
      <c r="O64" s="173">
        <f t="shared" si="0"/>
        <v>33680.25</v>
      </c>
    </row>
    <row r="65" spans="1:15" s="27" customFormat="1">
      <c r="A65" s="174" t="s">
        <v>76</v>
      </c>
      <c r="B65" s="170">
        <v>55742</v>
      </c>
      <c r="C65" s="170">
        <v>81454</v>
      </c>
      <c r="D65" s="170">
        <v>90449</v>
      </c>
      <c r="E65" s="170">
        <v>101162</v>
      </c>
      <c r="F65" s="173">
        <v>88792</v>
      </c>
      <c r="G65" s="170">
        <v>56284</v>
      </c>
      <c r="H65" s="170">
        <v>49815</v>
      </c>
      <c r="I65" s="170">
        <v>51232</v>
      </c>
      <c r="J65" s="170">
        <v>28735</v>
      </c>
      <c r="K65" s="170">
        <v>33121</v>
      </c>
      <c r="L65" s="172">
        <v>46895</v>
      </c>
      <c r="M65" s="173">
        <v>44381</v>
      </c>
      <c r="N65" s="170">
        <f t="shared" si="1"/>
        <v>728062</v>
      </c>
      <c r="O65" s="173">
        <f t="shared" si="0"/>
        <v>60671.833333333336</v>
      </c>
    </row>
    <row r="66" spans="1:15" s="27" customFormat="1">
      <c r="A66" s="174" t="s">
        <v>234</v>
      </c>
      <c r="B66" s="176">
        <f t="shared" ref="B66:J66" si="29">(B65/B67)</f>
        <v>0.67075797504301893</v>
      </c>
      <c r="C66" s="176">
        <f t="shared" si="29"/>
        <v>0.64713313047692445</v>
      </c>
      <c r="D66" s="176">
        <f t="shared" si="29"/>
        <v>0.67631488432607034</v>
      </c>
      <c r="E66" s="176">
        <f t="shared" si="29"/>
        <v>0.56540353230494078</v>
      </c>
      <c r="F66" s="176">
        <f t="shared" si="29"/>
        <v>0.60596051347496438</v>
      </c>
      <c r="G66" s="176">
        <f t="shared" si="29"/>
        <v>0.68199057301069932</v>
      </c>
      <c r="H66" s="176">
        <f t="shared" si="29"/>
        <v>0.65284057401218798</v>
      </c>
      <c r="I66" s="176">
        <f t="shared" si="29"/>
        <v>0.72996694403282802</v>
      </c>
      <c r="J66" s="176">
        <f t="shared" si="29"/>
        <v>0.65486907176553699</v>
      </c>
      <c r="K66" s="176">
        <f>(K65/K67)</f>
        <v>0.56125872703856838</v>
      </c>
      <c r="L66" s="176">
        <f>(L65/L67)</f>
        <v>0.73024697125416549</v>
      </c>
      <c r="M66" s="176">
        <f>(M65/M67)</f>
        <v>0.65326699736520599</v>
      </c>
      <c r="N66" s="170"/>
      <c r="O66" s="173"/>
    </row>
    <row r="67" spans="1:15" s="27" customFormat="1" ht="12.75" thickBot="1">
      <c r="A67" s="174" t="s">
        <v>196</v>
      </c>
      <c r="B67" s="177">
        <f t="shared" ref="B67:M67" si="30">SUM(B64:B65)</f>
        <v>83103</v>
      </c>
      <c r="C67" s="177">
        <f t="shared" si="30"/>
        <v>125869</v>
      </c>
      <c r="D67" s="177">
        <f t="shared" si="30"/>
        <v>133738</v>
      </c>
      <c r="E67" s="177">
        <f t="shared" si="30"/>
        <v>178920</v>
      </c>
      <c r="F67" s="177">
        <f t="shared" si="30"/>
        <v>146531</v>
      </c>
      <c r="G67" s="177">
        <f t="shared" si="30"/>
        <v>82529</v>
      </c>
      <c r="H67" s="177">
        <f t="shared" si="30"/>
        <v>76305</v>
      </c>
      <c r="I67" s="177">
        <f t="shared" si="30"/>
        <v>70184</v>
      </c>
      <c r="J67" s="177">
        <f t="shared" si="30"/>
        <v>43879</v>
      </c>
      <c r="K67" s="177">
        <f>SUM(K64:K65)</f>
        <v>59012</v>
      </c>
      <c r="L67" s="177">
        <f t="shared" si="30"/>
        <v>64218</v>
      </c>
      <c r="M67" s="177">
        <f t="shared" si="30"/>
        <v>67937</v>
      </c>
      <c r="N67" s="170">
        <f t="shared" si="1"/>
        <v>1132225</v>
      </c>
      <c r="O67" s="173">
        <f>N67/12</f>
        <v>94352.083333333328</v>
      </c>
    </row>
    <row r="68" spans="1:15" s="27" customFormat="1" ht="12.75" thickTop="1">
      <c r="A68" s="178"/>
      <c r="B68" s="170"/>
      <c r="C68" s="170"/>
      <c r="D68" s="170"/>
      <c r="E68" s="170"/>
      <c r="F68" s="170"/>
      <c r="G68" s="170"/>
      <c r="H68" s="170"/>
      <c r="I68" s="170">
        <f>SUM(H67:K67)</f>
        <v>249380</v>
      </c>
      <c r="J68" s="170"/>
      <c r="K68" s="170"/>
      <c r="L68" s="170"/>
      <c r="M68" s="170"/>
      <c r="N68" s="170"/>
      <c r="O68" s="173"/>
    </row>
    <row r="69" spans="1:15" s="27" customFormat="1">
      <c r="A69" s="163" t="s">
        <v>135</v>
      </c>
      <c r="B69" s="164">
        <v>43647</v>
      </c>
      <c r="C69" s="164">
        <v>43678</v>
      </c>
      <c r="D69" s="164">
        <v>43709</v>
      </c>
      <c r="E69" s="164">
        <v>43739</v>
      </c>
      <c r="F69" s="164">
        <v>43770</v>
      </c>
      <c r="G69" s="164">
        <v>43800</v>
      </c>
      <c r="H69" s="164">
        <v>43831</v>
      </c>
      <c r="I69" s="164">
        <v>43862</v>
      </c>
      <c r="J69" s="164">
        <v>43891</v>
      </c>
      <c r="K69" s="164">
        <v>43922</v>
      </c>
      <c r="L69" s="164">
        <v>43952</v>
      </c>
      <c r="M69" s="164">
        <v>43983</v>
      </c>
      <c r="N69" s="170"/>
      <c r="O69" s="173"/>
    </row>
    <row r="70" spans="1:15" s="27" customFormat="1">
      <c r="A70" s="169" t="s">
        <v>57</v>
      </c>
      <c r="B70" s="170">
        <v>35263</v>
      </c>
      <c r="C70" s="170">
        <v>33799</v>
      </c>
      <c r="D70" s="170">
        <v>45196</v>
      </c>
      <c r="E70" s="170">
        <v>83219</v>
      </c>
      <c r="F70" s="170">
        <v>67792</v>
      </c>
      <c r="G70" s="170">
        <v>30948</v>
      </c>
      <c r="H70" s="170">
        <v>17020</v>
      </c>
      <c r="I70" s="170">
        <v>13742</v>
      </c>
      <c r="J70" s="170">
        <v>14628</v>
      </c>
      <c r="K70" s="170">
        <v>15545</v>
      </c>
      <c r="L70" s="172">
        <v>28123</v>
      </c>
      <c r="M70" s="173"/>
      <c r="N70" s="170">
        <f>SUM(B70:M70)</f>
        <v>385275</v>
      </c>
      <c r="O70" s="173">
        <f>N70/10</f>
        <v>38527.5</v>
      </c>
    </row>
    <row r="71" spans="1:15" s="27" customFormat="1">
      <c r="A71" s="174" t="s">
        <v>76</v>
      </c>
      <c r="B71" s="170">
        <v>59087</v>
      </c>
      <c r="C71" s="170">
        <v>80685</v>
      </c>
      <c r="D71" s="170">
        <v>94092</v>
      </c>
      <c r="E71" s="170">
        <v>119538</v>
      </c>
      <c r="F71" s="173">
        <v>86715</v>
      </c>
      <c r="G71" s="170">
        <v>61639</v>
      </c>
      <c r="H71" s="170">
        <v>51474</v>
      </c>
      <c r="I71" s="170">
        <v>31490</v>
      </c>
      <c r="J71" s="170">
        <v>25072</v>
      </c>
      <c r="K71" s="170">
        <v>22822</v>
      </c>
      <c r="L71" s="172">
        <v>53544</v>
      </c>
      <c r="M71" s="173"/>
      <c r="N71" s="170">
        <f>SUM(B71:M71)</f>
        <v>686158</v>
      </c>
      <c r="O71" s="173">
        <f t="shared" ref="O71:O73" si="31">N71/10</f>
        <v>68615.8</v>
      </c>
    </row>
    <row r="72" spans="1:15" s="27" customFormat="1">
      <c r="A72" s="174" t="s">
        <v>234</v>
      </c>
      <c r="B72" s="176">
        <f t="shared" ref="B72:M72" si="32">(B71/B73)</f>
        <v>0.62625331213566504</v>
      </c>
      <c r="C72" s="176">
        <f t="shared" si="32"/>
        <v>0.70477097236295028</v>
      </c>
      <c r="D72" s="176">
        <f t="shared" si="32"/>
        <v>0.67552122221584054</v>
      </c>
      <c r="E72" s="176">
        <f>(E71/E73)</f>
        <v>0.5895628757576804</v>
      </c>
      <c r="F72" s="176">
        <f t="shared" si="32"/>
        <v>0.5612367077219802</v>
      </c>
      <c r="G72" s="176">
        <f t="shared" si="32"/>
        <v>0.66574141078121118</v>
      </c>
      <c r="H72" s="176">
        <f t="shared" si="32"/>
        <v>0.75151108126259236</v>
      </c>
      <c r="I72" s="176">
        <f t="shared" si="32"/>
        <v>0.69618853908737177</v>
      </c>
      <c r="J72" s="176">
        <f t="shared" si="32"/>
        <v>0.63153652392947102</v>
      </c>
      <c r="K72" s="176">
        <f t="shared" si="32"/>
        <v>0.59483410222326483</v>
      </c>
      <c r="L72" s="176">
        <f t="shared" si="32"/>
        <v>0.65563814025248879</v>
      </c>
      <c r="M72" s="176" t="e">
        <f t="shared" si="32"/>
        <v>#DIV/0!</v>
      </c>
      <c r="N72" s="170"/>
      <c r="O72" s="173"/>
    </row>
    <row r="73" spans="1:15" s="27" customFormat="1" ht="12.75" thickBot="1">
      <c r="A73" s="174" t="s">
        <v>196</v>
      </c>
      <c r="B73" s="177">
        <f t="shared" ref="B73:M73" si="33">SUM(B70:B71)</f>
        <v>94350</v>
      </c>
      <c r="C73" s="177">
        <f t="shared" si="33"/>
        <v>114484</v>
      </c>
      <c r="D73" s="177">
        <f t="shared" si="33"/>
        <v>139288</v>
      </c>
      <c r="E73" s="177">
        <f>SUM(E70:E71)</f>
        <v>202757</v>
      </c>
      <c r="F73" s="177">
        <f t="shared" si="33"/>
        <v>154507</v>
      </c>
      <c r="G73" s="177">
        <f t="shared" si="33"/>
        <v>92587</v>
      </c>
      <c r="H73" s="177">
        <f t="shared" si="33"/>
        <v>68494</v>
      </c>
      <c r="I73" s="177">
        <f>SUM(I70:I71)</f>
        <v>45232</v>
      </c>
      <c r="J73" s="177">
        <f t="shared" si="33"/>
        <v>39700</v>
      </c>
      <c r="K73" s="177">
        <f t="shared" si="33"/>
        <v>38367</v>
      </c>
      <c r="L73" s="177">
        <f t="shared" si="33"/>
        <v>81667</v>
      </c>
      <c r="M73" s="177">
        <f t="shared" si="33"/>
        <v>0</v>
      </c>
      <c r="N73" s="170">
        <f>SUM(B73:M73)</f>
        <v>1071433</v>
      </c>
      <c r="O73" s="173">
        <f t="shared" si="31"/>
        <v>107143.3</v>
      </c>
    </row>
    <row r="74" spans="1:15" s="27" customFormat="1" ht="12.75" thickTop="1">
      <c r="A74" s="178"/>
      <c r="B74" s="170"/>
      <c r="C74" s="170"/>
      <c r="D74" s="170"/>
      <c r="E74" s="170"/>
      <c r="F74" s="170"/>
      <c r="G74" s="170"/>
      <c r="H74" s="170"/>
      <c r="I74" s="170"/>
      <c r="J74" s="170"/>
      <c r="K74" s="170"/>
      <c r="L74" s="170"/>
      <c r="M74" s="170"/>
      <c r="N74" s="170"/>
      <c r="O74" s="173"/>
    </row>
    <row r="75" spans="1:15" s="27" customFormat="1">
      <c r="A75" s="178"/>
      <c r="B75" s="170"/>
      <c r="C75" s="170"/>
      <c r="D75" s="170"/>
      <c r="E75" s="170"/>
      <c r="F75" s="170"/>
      <c r="G75" s="170"/>
      <c r="H75" s="170"/>
      <c r="I75" s="170">
        <f>SUM(H73:K73)</f>
        <v>191793</v>
      </c>
      <c r="J75" s="170"/>
      <c r="K75" s="170"/>
    </row>
    <row r="76" spans="1:15" s="27" customFormat="1">
      <c r="A76" s="178"/>
      <c r="B76" s="170"/>
      <c r="C76" s="170"/>
      <c r="D76" s="170"/>
      <c r="E76" s="170"/>
      <c r="F76" s="170"/>
      <c r="G76" s="170"/>
      <c r="H76" s="170"/>
      <c r="I76" s="170"/>
      <c r="J76" s="170"/>
      <c r="K76" s="170"/>
    </row>
    <row r="77" spans="1:15" s="27" customFormat="1">
      <c r="A77" s="178"/>
      <c r="B77" s="170"/>
      <c r="C77" s="170"/>
      <c r="D77" s="170"/>
      <c r="E77" s="170"/>
      <c r="F77" s="170"/>
      <c r="G77" s="170"/>
      <c r="H77" s="170"/>
      <c r="I77" s="170"/>
      <c r="J77" s="170"/>
      <c r="K77" s="170"/>
    </row>
    <row r="78" spans="1:15" s="27" customFormat="1">
      <c r="A78" s="178"/>
      <c r="B78" s="170"/>
      <c r="C78" s="170"/>
      <c r="D78" s="170"/>
      <c r="E78" s="170"/>
      <c r="F78" s="170"/>
      <c r="G78" s="170"/>
      <c r="H78" s="170"/>
      <c r="I78" s="170"/>
      <c r="J78" s="170"/>
      <c r="K78" s="170"/>
    </row>
    <row r="79" spans="1:15" s="27" customFormat="1">
      <c r="A79" s="178"/>
      <c r="B79" s="170"/>
      <c r="C79" s="170"/>
      <c r="D79" s="170"/>
      <c r="E79" s="170"/>
      <c r="F79" s="170"/>
      <c r="G79" s="170"/>
      <c r="H79" s="170"/>
      <c r="I79" s="170"/>
      <c r="J79" s="170"/>
      <c r="K79" s="170"/>
    </row>
    <row r="80" spans="1:15" s="27" customFormat="1">
      <c r="A80" s="178"/>
      <c r="B80" s="170"/>
      <c r="C80" s="170"/>
      <c r="D80" s="170"/>
      <c r="E80" s="170"/>
      <c r="F80" s="170"/>
      <c r="G80" s="170"/>
      <c r="H80" s="170"/>
      <c r="I80" s="170"/>
      <c r="J80" s="170"/>
      <c r="K80" s="170"/>
    </row>
    <row r="81" spans="1:16">
      <c r="A81" s="178"/>
      <c r="B81" s="181"/>
      <c r="C81" s="181"/>
      <c r="D81" s="181"/>
      <c r="E81" s="181"/>
      <c r="F81" s="181"/>
      <c r="G81" s="181"/>
      <c r="H81" s="181"/>
      <c r="I81" s="181"/>
      <c r="J81" s="181"/>
      <c r="K81" s="181"/>
      <c r="O81" s="182"/>
    </row>
    <row r="82" spans="1:16">
      <c r="A82" s="183"/>
      <c r="B82" s="181"/>
      <c r="C82" s="181"/>
      <c r="D82" s="181"/>
      <c r="E82" s="181"/>
      <c r="F82" s="181"/>
      <c r="G82" s="181"/>
      <c r="H82" s="181"/>
      <c r="I82" s="181"/>
      <c r="J82" s="181"/>
      <c r="K82" s="181"/>
      <c r="M82" s="182"/>
      <c r="N82" s="182"/>
      <c r="P82" s="182"/>
    </row>
    <row r="83" spans="1:16">
      <c r="A83" s="184"/>
      <c r="B83" s="181"/>
      <c r="C83" s="181"/>
      <c r="D83" s="181"/>
      <c r="E83" s="181"/>
      <c r="F83" s="181"/>
      <c r="G83" s="181"/>
      <c r="H83" s="181"/>
      <c r="I83" s="181"/>
      <c r="J83" s="181"/>
      <c r="K83" s="181"/>
      <c r="M83" s="182"/>
      <c r="P83" s="182"/>
    </row>
    <row r="84" spans="1:16">
      <c r="A84" s="184"/>
      <c r="B84" s="181"/>
      <c r="C84" s="181"/>
      <c r="D84" s="181"/>
      <c r="E84" s="181"/>
      <c r="F84" s="181"/>
      <c r="G84" s="181"/>
      <c r="H84" s="181"/>
      <c r="I84" s="181"/>
      <c r="J84" s="181"/>
      <c r="K84" s="181"/>
      <c r="M84" s="182"/>
      <c r="N84" s="182"/>
    </row>
    <row r="85" spans="1:16">
      <c r="A85" s="183"/>
      <c r="F85" s="185"/>
      <c r="G85" s="185"/>
      <c r="H85" s="185"/>
      <c r="I85" s="185"/>
      <c r="J85" s="185"/>
      <c r="K85" s="185"/>
      <c r="M85" s="182"/>
    </row>
    <row r="86" spans="1:16">
      <c r="A86" s="186"/>
      <c r="M86" s="182"/>
      <c r="N86" s="182"/>
    </row>
    <row r="88" spans="1:16">
      <c r="M88" s="182"/>
      <c r="N88" s="182"/>
    </row>
  </sheetData>
  <phoneticPr fontId="3" type="noConversion"/>
  <pageMargins left="0" right="3.937007874015748E-2" top="0.23622047244094491" bottom="0" header="3.937007874015748E-2" footer="0.31496062992125984"/>
  <pageSetup paperSize="8" fitToWidth="4" fitToHeight="2" orientation="landscape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74"/>
  <sheetViews>
    <sheetView topLeftCell="A52" workbookViewId="0">
      <selection activeCell="D74" sqref="D74:E74"/>
    </sheetView>
  </sheetViews>
  <sheetFormatPr defaultColWidth="10.85546875" defaultRowHeight="12"/>
  <cols>
    <col min="1" max="1" width="6.85546875" style="139" customWidth="1"/>
    <col min="2" max="2" width="7.85546875" style="139" customWidth="1"/>
    <col min="3" max="3" width="9.140625" style="139" customWidth="1"/>
    <col min="4" max="4" width="12" style="323" customWidth="1"/>
    <col min="5" max="5" width="13.42578125" style="323" customWidth="1"/>
    <col min="6" max="7" width="9.42578125" style="139" customWidth="1"/>
    <col min="8" max="8" width="12" style="139" customWidth="1"/>
    <col min="9" max="9" width="13" style="139" customWidth="1"/>
    <col min="10" max="10" width="8.5703125" style="139" customWidth="1"/>
    <col min="11" max="11" width="9" style="139" customWidth="1"/>
    <col min="12" max="12" width="9.7109375" style="139" customWidth="1"/>
    <col min="13" max="13" width="15.140625" style="139" customWidth="1"/>
    <col min="14" max="14" width="8.85546875" style="139" customWidth="1"/>
    <col min="15" max="16384" width="10.85546875" style="139"/>
  </cols>
  <sheetData>
    <row r="1" spans="1:14" s="362" customFormat="1" ht="14.1" customHeight="1"/>
    <row r="2" spans="1:14" s="362" customFormat="1" ht="14.1" customHeight="1"/>
    <row r="3" spans="1:14" s="362" customFormat="1" ht="14.1" customHeight="1"/>
    <row r="4" spans="1:14" s="362" customFormat="1" ht="14.1" customHeight="1"/>
    <row r="5" spans="1:14" s="362" customFormat="1" ht="14.1" customHeight="1"/>
    <row r="6" spans="1:14" s="362" customFormat="1" ht="14.1" customHeight="1"/>
    <row r="7" spans="1:14" s="362" customFormat="1" ht="14.1" customHeight="1"/>
    <row r="8" spans="1:14" s="362" customFormat="1" ht="14.1" customHeight="1"/>
    <row r="9" spans="1:14" s="362" customFormat="1" ht="14.1" customHeight="1"/>
    <row r="12" spans="1:14" ht="36">
      <c r="A12" s="294"/>
      <c r="B12" s="295" t="s">
        <v>73</v>
      </c>
      <c r="C12" s="296" t="s">
        <v>84</v>
      </c>
      <c r="D12" s="297" t="s">
        <v>251</v>
      </c>
      <c r="E12" s="297" t="s">
        <v>35</v>
      </c>
      <c r="F12" s="298" t="s">
        <v>254</v>
      </c>
      <c r="G12" s="299" t="s">
        <v>250</v>
      </c>
      <c r="H12" s="300" t="s">
        <v>208</v>
      </c>
      <c r="I12" s="300" t="s">
        <v>209</v>
      </c>
      <c r="J12" s="299" t="s">
        <v>36</v>
      </c>
      <c r="K12" s="299" t="s">
        <v>37</v>
      </c>
      <c r="L12" s="301" t="s">
        <v>38</v>
      </c>
      <c r="M12" s="302" t="s">
        <v>210</v>
      </c>
      <c r="N12" s="302" t="s">
        <v>211</v>
      </c>
    </row>
    <row r="13" spans="1:14">
      <c r="A13" s="303">
        <v>38047</v>
      </c>
      <c r="B13" s="304">
        <v>42273</v>
      </c>
      <c r="C13" s="305">
        <v>67074</v>
      </c>
      <c r="D13" s="306">
        <v>2504837</v>
      </c>
      <c r="E13" s="306">
        <v>13026356.6</v>
      </c>
      <c r="F13" s="307"/>
      <c r="L13" s="305"/>
      <c r="M13" s="308"/>
      <c r="N13" s="308"/>
    </row>
    <row r="14" spans="1:14">
      <c r="A14" s="303">
        <v>38139</v>
      </c>
      <c r="B14" s="304">
        <v>92211</v>
      </c>
      <c r="C14" s="305">
        <v>109966</v>
      </c>
      <c r="D14" s="306">
        <v>3893199</v>
      </c>
      <c r="E14" s="306">
        <v>12172082</v>
      </c>
      <c r="F14" s="307"/>
      <c r="L14" s="305"/>
    </row>
    <row r="15" spans="1:14">
      <c r="A15" s="303">
        <v>38231</v>
      </c>
      <c r="B15" s="304">
        <v>146566</v>
      </c>
      <c r="C15" s="305">
        <v>278104</v>
      </c>
      <c r="D15" s="306">
        <v>15269478</v>
      </c>
      <c r="E15" s="306">
        <v>28073270</v>
      </c>
      <c r="F15" s="307"/>
      <c r="L15" s="305"/>
    </row>
    <row r="16" spans="1:14">
      <c r="A16" s="303">
        <v>38322</v>
      </c>
      <c r="B16" s="304">
        <v>158676</v>
      </c>
      <c r="C16" s="305">
        <v>353745</v>
      </c>
      <c r="D16" s="306">
        <v>9229645</v>
      </c>
      <c r="E16" s="306">
        <v>53125482.299999997</v>
      </c>
      <c r="F16" s="305">
        <f>B13+B14+B15+B16</f>
        <v>439726</v>
      </c>
      <c r="G16" s="305">
        <f>C13+C14+C15+C16</f>
        <v>808889</v>
      </c>
      <c r="H16" s="309">
        <f>D13+D14+D15+D16</f>
        <v>30897159</v>
      </c>
      <c r="I16" s="309">
        <f>E13+E14+E15+E16</f>
        <v>106397190.90000001</v>
      </c>
      <c r="J16" s="307">
        <f>H16/F16</f>
        <v>70.264571574116616</v>
      </c>
      <c r="K16" s="307">
        <f>I16/G16</f>
        <v>131.53497068200952</v>
      </c>
      <c r="L16" s="305">
        <f>F16+G16</f>
        <v>1248615</v>
      </c>
      <c r="M16" s="308">
        <f>H16+I16</f>
        <v>137294349.90000001</v>
      </c>
      <c r="N16" s="310">
        <f>M16/L16</f>
        <v>109.95731262238561</v>
      </c>
    </row>
    <row r="17" spans="1:16">
      <c r="A17" s="303">
        <v>38412</v>
      </c>
      <c r="B17" s="304">
        <v>19770</v>
      </c>
      <c r="C17" s="305">
        <v>80325</v>
      </c>
      <c r="D17" s="306">
        <v>1785876</v>
      </c>
      <c r="E17" s="306">
        <v>20343157.600000001</v>
      </c>
      <c r="F17" s="305"/>
      <c r="G17" s="304"/>
      <c r="H17" s="311"/>
      <c r="I17" s="311"/>
      <c r="L17" s="305"/>
      <c r="N17" s="310"/>
    </row>
    <row r="18" spans="1:16">
      <c r="A18" s="303"/>
      <c r="B18" s="304"/>
      <c r="C18" s="305"/>
      <c r="D18" s="306"/>
      <c r="E18" s="306"/>
      <c r="F18" s="305"/>
      <c r="G18" s="304"/>
      <c r="H18" s="311"/>
      <c r="I18" s="311"/>
      <c r="L18" s="305"/>
      <c r="N18" s="310"/>
    </row>
    <row r="19" spans="1:16">
      <c r="A19" s="303">
        <v>38869</v>
      </c>
      <c r="B19" s="304">
        <v>136936</v>
      </c>
      <c r="C19" s="305">
        <v>126262</v>
      </c>
      <c r="D19" s="306">
        <v>6160854</v>
      </c>
      <c r="E19" s="306">
        <v>16872700</v>
      </c>
      <c r="F19" s="305"/>
      <c r="G19" s="304"/>
      <c r="H19" s="312"/>
      <c r="I19" s="312"/>
      <c r="J19" s="310"/>
      <c r="K19" s="310"/>
      <c r="L19" s="305"/>
      <c r="N19" s="310"/>
    </row>
    <row r="20" spans="1:16">
      <c r="A20" s="303">
        <v>38961</v>
      </c>
      <c r="B20" s="304">
        <v>136485</v>
      </c>
      <c r="C20" s="305">
        <v>243681</v>
      </c>
      <c r="D20" s="306">
        <v>7792922</v>
      </c>
      <c r="E20" s="306">
        <v>36209703</v>
      </c>
      <c r="F20" s="305"/>
      <c r="G20" s="304"/>
      <c r="H20" s="312"/>
      <c r="I20" s="312"/>
      <c r="J20" s="310"/>
      <c r="K20" s="310"/>
      <c r="L20" s="305"/>
      <c r="N20" s="310"/>
    </row>
    <row r="21" spans="1:16">
      <c r="A21" s="303">
        <v>39052</v>
      </c>
      <c r="B21" s="304">
        <v>141425</v>
      </c>
      <c r="C21" s="305">
        <v>285691</v>
      </c>
      <c r="D21" s="306">
        <v>9519600</v>
      </c>
      <c r="E21" s="306">
        <v>53940060</v>
      </c>
      <c r="F21" s="305">
        <f>B19+B20+B21</f>
        <v>414846</v>
      </c>
      <c r="G21" s="305">
        <f>C19+C20+C21</f>
        <v>655634</v>
      </c>
      <c r="H21" s="309">
        <f>D19+D20+D21</f>
        <v>23473376</v>
      </c>
      <c r="I21" s="309">
        <f>E19+E20+E21</f>
        <v>107022463</v>
      </c>
      <c r="J21" s="307">
        <f>H21/F21</f>
        <v>56.583349001798261</v>
      </c>
      <c r="K21" s="307">
        <f>I21/G21</f>
        <v>163.23507170158962</v>
      </c>
      <c r="L21" s="305"/>
      <c r="N21" s="310"/>
    </row>
    <row r="22" spans="1:16">
      <c r="A22" s="303">
        <v>39142</v>
      </c>
      <c r="B22" s="313">
        <v>59567</v>
      </c>
      <c r="C22" s="314">
        <v>154346</v>
      </c>
      <c r="D22" s="306">
        <v>3544408</v>
      </c>
      <c r="E22" s="306">
        <v>25036215.5</v>
      </c>
      <c r="F22" s="305"/>
      <c r="G22" s="304"/>
      <c r="H22" s="312"/>
      <c r="I22" s="312"/>
      <c r="J22" s="310"/>
      <c r="K22" s="310"/>
      <c r="L22" s="305"/>
      <c r="M22" s="308"/>
      <c r="N22" s="310"/>
    </row>
    <row r="23" spans="1:16">
      <c r="A23" s="303">
        <v>39234</v>
      </c>
      <c r="B23" s="313">
        <v>113394</v>
      </c>
      <c r="C23" s="314">
        <v>156856</v>
      </c>
      <c r="D23" s="306">
        <v>4796101</v>
      </c>
      <c r="E23" s="306">
        <v>23100279.600000001</v>
      </c>
      <c r="F23" s="305">
        <f>B20+B21+B22+B23</f>
        <v>450871</v>
      </c>
      <c r="G23" s="305">
        <f>C20+C21+C22+C23</f>
        <v>840574</v>
      </c>
      <c r="H23" s="309">
        <f>D20+D21+D22+D23</f>
        <v>25653031</v>
      </c>
      <c r="I23" s="309">
        <f>E20+E21+E22+E23</f>
        <v>138286258.09999999</v>
      </c>
      <c r="J23" s="315">
        <f>+H23/F23</f>
        <v>56.896609007898043</v>
      </c>
      <c r="K23" s="315">
        <f>+I23/G23</f>
        <v>164.51407978357645</v>
      </c>
      <c r="L23" s="316">
        <f>F23+G23</f>
        <v>1291445</v>
      </c>
      <c r="M23" s="308">
        <f>H23+I23</f>
        <v>163939289.09999999</v>
      </c>
      <c r="N23" s="310">
        <f>M23/L23</f>
        <v>126.94252492363205</v>
      </c>
      <c r="P23" s="317">
        <f>K23</f>
        <v>164.51407978357645</v>
      </c>
    </row>
    <row r="24" spans="1:16">
      <c r="A24" s="303">
        <v>39326</v>
      </c>
      <c r="B24" s="313">
        <v>179457</v>
      </c>
      <c r="C24" s="314">
        <v>271966</v>
      </c>
      <c r="D24" s="318">
        <v>10335908</v>
      </c>
      <c r="E24" s="318">
        <v>37975296.200000003</v>
      </c>
      <c r="F24" s="305"/>
      <c r="G24" s="305"/>
      <c r="H24" s="309"/>
      <c r="I24" s="309"/>
      <c r="J24" s="315"/>
      <c r="K24" s="315"/>
      <c r="L24" s="316"/>
      <c r="M24" s="308"/>
      <c r="N24" s="310"/>
      <c r="P24" s="317"/>
    </row>
    <row r="25" spans="1:16">
      <c r="A25" s="303">
        <v>39417</v>
      </c>
      <c r="B25" s="313">
        <v>160954</v>
      </c>
      <c r="C25" s="314">
        <v>331191.01</v>
      </c>
      <c r="D25" s="318">
        <v>9087270</v>
      </c>
      <c r="E25" s="318">
        <v>52002549</v>
      </c>
      <c r="F25" s="305">
        <f>B22+B23+B24+B25</f>
        <v>513372</v>
      </c>
      <c r="G25" s="305">
        <f>C22+C23+C24+C25</f>
        <v>914359.01</v>
      </c>
      <c r="H25" s="309">
        <f>D22+D23+D24+D25</f>
        <v>27763687</v>
      </c>
      <c r="I25" s="309">
        <f>E22+E23+E24+E25</f>
        <v>138114340.30000001</v>
      </c>
      <c r="J25" s="315">
        <f>+H25/F25</f>
        <v>54.081030909360074</v>
      </c>
      <c r="K25" s="315">
        <f>+I25/G25</f>
        <v>151.05045041334478</v>
      </c>
      <c r="L25" s="316">
        <f>F25+G25</f>
        <v>1427731.01</v>
      </c>
      <c r="M25" s="308">
        <f>H25+I25</f>
        <v>165878027.30000001</v>
      </c>
      <c r="N25" s="310">
        <f>M25/L25</f>
        <v>116.18296873722734</v>
      </c>
      <c r="P25" s="317"/>
    </row>
    <row r="26" spans="1:16">
      <c r="A26" s="303">
        <v>39508</v>
      </c>
      <c r="B26" s="304">
        <v>53386</v>
      </c>
      <c r="C26" s="305">
        <v>133527</v>
      </c>
      <c r="D26" s="306">
        <v>4760467</v>
      </c>
      <c r="E26" s="306">
        <v>25383370.600000001</v>
      </c>
      <c r="F26" s="305"/>
      <c r="G26" s="304"/>
      <c r="H26" s="312"/>
      <c r="I26" s="312"/>
      <c r="J26" s="310"/>
      <c r="K26" s="310"/>
      <c r="L26" s="305"/>
      <c r="M26" s="308"/>
      <c r="N26" s="310"/>
      <c r="P26" s="317"/>
    </row>
    <row r="27" spans="1:16">
      <c r="A27" s="303">
        <v>39600</v>
      </c>
      <c r="B27" s="304">
        <v>98115</v>
      </c>
      <c r="C27" s="305">
        <v>105782</v>
      </c>
      <c r="D27" s="306">
        <v>5233101</v>
      </c>
      <c r="E27" s="306">
        <v>17117940.699999999</v>
      </c>
      <c r="F27" s="305">
        <f>B24+B25+B26+B27</f>
        <v>491912</v>
      </c>
      <c r="G27" s="305">
        <f>C24+C25+C26+C27</f>
        <v>842466.01</v>
      </c>
      <c r="H27" s="309">
        <f>D24+D25+D26+D27</f>
        <v>29416746</v>
      </c>
      <c r="I27" s="309">
        <f>E24+E25+E26+E27</f>
        <v>132479156.50000001</v>
      </c>
      <c r="J27" s="307">
        <f>+H27/F27</f>
        <v>59.800830229797199</v>
      </c>
      <c r="K27" s="307">
        <f>+I27/G27</f>
        <v>157.25163380775447</v>
      </c>
      <c r="L27" s="305">
        <f>F27+G27</f>
        <v>1334378.01</v>
      </c>
      <c r="M27" s="308">
        <f>H27+I27</f>
        <v>161895902.5</v>
      </c>
      <c r="N27" s="310">
        <f>M27/L27</f>
        <v>121.32686636525133</v>
      </c>
      <c r="P27" s="317">
        <f>(K27+K25)/2</f>
        <v>154.15104211054961</v>
      </c>
    </row>
    <row r="28" spans="1:16">
      <c r="A28" s="303">
        <v>39692</v>
      </c>
      <c r="B28" s="304">
        <v>142405</v>
      </c>
      <c r="C28" s="305">
        <v>241486</v>
      </c>
      <c r="D28" s="306">
        <v>10652452</v>
      </c>
      <c r="E28" s="306">
        <v>42198040.950000003</v>
      </c>
      <c r="F28" s="305"/>
      <c r="G28" s="305"/>
      <c r="H28" s="309"/>
      <c r="I28" s="309"/>
      <c r="J28" s="307"/>
      <c r="K28" s="307"/>
      <c r="L28" s="305"/>
      <c r="M28" s="308"/>
      <c r="N28" s="310"/>
      <c r="P28" s="317"/>
    </row>
    <row r="29" spans="1:16">
      <c r="A29" s="303">
        <v>39783</v>
      </c>
      <c r="B29" s="304">
        <v>162633</v>
      </c>
      <c r="C29" s="305">
        <v>266313</v>
      </c>
      <c r="D29" s="306">
        <v>19892406</v>
      </c>
      <c r="E29" s="306">
        <v>71021888.25</v>
      </c>
      <c r="F29" s="305">
        <f>B26+B27+B28+B29</f>
        <v>456539</v>
      </c>
      <c r="G29" s="305">
        <f>C26+C27+C28+C29</f>
        <v>747108</v>
      </c>
      <c r="H29" s="309">
        <f>D26+D27+D28+D29</f>
        <v>40538426</v>
      </c>
      <c r="I29" s="309">
        <f>E26+E27+E28+E29</f>
        <v>155721240.5</v>
      </c>
      <c r="J29" s="307">
        <f>+H29/F29</f>
        <v>88.795099651946487</v>
      </c>
      <c r="K29" s="307">
        <f>+I29/G29</f>
        <v>208.43203459205361</v>
      </c>
      <c r="L29" s="305">
        <f>F29+G29</f>
        <v>1203647</v>
      </c>
      <c r="M29" s="308">
        <f>H29+I29</f>
        <v>196259666.5</v>
      </c>
      <c r="N29" s="310">
        <f>M29/L29</f>
        <v>163.05417327505489</v>
      </c>
      <c r="P29" s="317"/>
    </row>
    <row r="30" spans="1:16">
      <c r="A30" s="303">
        <v>39873</v>
      </c>
      <c r="B30" s="304">
        <v>51065</v>
      </c>
      <c r="C30" s="305">
        <v>90046</v>
      </c>
      <c r="D30" s="306">
        <v>9297610</v>
      </c>
      <c r="E30" s="306">
        <v>34382645.539999999</v>
      </c>
      <c r="F30" s="305"/>
      <c r="G30" s="304"/>
      <c r="H30" s="312"/>
      <c r="I30" s="312"/>
      <c r="J30" s="310"/>
      <c r="K30" s="310"/>
      <c r="L30" s="305"/>
      <c r="M30" s="308"/>
      <c r="N30" s="310"/>
      <c r="P30" s="317"/>
    </row>
    <row r="31" spans="1:16">
      <c r="A31" s="303">
        <v>39965</v>
      </c>
      <c r="B31" s="304">
        <v>81368</v>
      </c>
      <c r="C31" s="305">
        <v>119030</v>
      </c>
      <c r="D31" s="306">
        <v>6686968</v>
      </c>
      <c r="E31" s="306">
        <v>25810838.670000002</v>
      </c>
      <c r="F31" s="305">
        <f>B28+B29+B30+B31</f>
        <v>437471</v>
      </c>
      <c r="G31" s="305">
        <f>C28+C29+C30+C31</f>
        <v>716875</v>
      </c>
      <c r="H31" s="309">
        <f>D28+D29+D30+D31</f>
        <v>46529436</v>
      </c>
      <c r="I31" s="309">
        <f>E28+E29+E30+E31</f>
        <v>173413413.41000003</v>
      </c>
      <c r="J31" s="307">
        <f>+H31/F31</f>
        <v>106.36004672309707</v>
      </c>
      <c r="K31" s="307">
        <f>+I31/G31</f>
        <v>241.90188444289456</v>
      </c>
      <c r="L31" s="305">
        <f>F31+G31</f>
        <v>1154346</v>
      </c>
      <c r="M31" s="308">
        <f>H31+I31</f>
        <v>219942849.41000003</v>
      </c>
      <c r="N31" s="310">
        <f>M31/L31</f>
        <v>190.53459656810006</v>
      </c>
      <c r="P31" s="317">
        <f>(K31+K29)/2</f>
        <v>225.16695951747408</v>
      </c>
    </row>
    <row r="32" spans="1:16">
      <c r="A32" s="303">
        <v>40057</v>
      </c>
      <c r="B32" s="304">
        <v>134213</v>
      </c>
      <c r="C32" s="305">
        <v>231354</v>
      </c>
      <c r="D32" s="306">
        <v>11252945</v>
      </c>
      <c r="E32" s="306">
        <v>39762845</v>
      </c>
      <c r="F32" s="305"/>
      <c r="G32" s="305"/>
      <c r="H32" s="309"/>
      <c r="I32" s="309"/>
      <c r="J32" s="307"/>
      <c r="K32" s="307"/>
      <c r="L32" s="305"/>
      <c r="M32" s="308"/>
      <c r="N32" s="310"/>
      <c r="P32" s="317"/>
    </row>
    <row r="33" spans="1:16">
      <c r="A33" s="303">
        <v>40148</v>
      </c>
      <c r="B33" s="304">
        <v>158955</v>
      </c>
      <c r="C33" s="305">
        <v>288045</v>
      </c>
      <c r="D33" s="306">
        <v>13713114</v>
      </c>
      <c r="E33" s="306">
        <v>53046995</v>
      </c>
      <c r="F33" s="305">
        <f>B30+B31+B32+B33</f>
        <v>425601</v>
      </c>
      <c r="G33" s="305">
        <f>C30+C31+C32+C33</f>
        <v>728475</v>
      </c>
      <c r="H33" s="309">
        <f>D30+D31+D32+D33</f>
        <v>40950637</v>
      </c>
      <c r="I33" s="309">
        <f>E30+E31+E32+E33</f>
        <v>153003324.21000001</v>
      </c>
      <c r="J33" s="307">
        <f>+H33/F33</f>
        <v>96.21837589667318</v>
      </c>
      <c r="K33" s="307">
        <f>+I33/G33</f>
        <v>210.03236104190262</v>
      </c>
      <c r="L33" s="305">
        <f>F33+G33</f>
        <v>1154076</v>
      </c>
      <c r="M33" s="308">
        <f>H33+I33</f>
        <v>193953961.21000001</v>
      </c>
      <c r="N33" s="310">
        <f>M33/L33</f>
        <v>168.05995550552998</v>
      </c>
      <c r="P33" s="317"/>
    </row>
    <row r="34" spans="1:16">
      <c r="A34" s="303">
        <v>40238</v>
      </c>
      <c r="B34" s="304">
        <v>64649</v>
      </c>
      <c r="C34" s="305">
        <v>114891</v>
      </c>
      <c r="D34" s="306">
        <v>5771696</v>
      </c>
      <c r="E34" s="306">
        <v>29030944</v>
      </c>
      <c r="F34" s="305"/>
      <c r="G34" s="304"/>
      <c r="H34" s="312"/>
      <c r="I34" s="312"/>
      <c r="J34" s="310"/>
      <c r="K34" s="310"/>
      <c r="L34" s="305"/>
      <c r="M34" s="308"/>
      <c r="N34" s="310"/>
      <c r="P34" s="317"/>
    </row>
    <row r="35" spans="1:16">
      <c r="A35" s="303">
        <v>40330</v>
      </c>
      <c r="B35" s="304">
        <v>111253</v>
      </c>
      <c r="C35" s="305">
        <v>140989</v>
      </c>
      <c r="D35" s="306">
        <v>7125228</v>
      </c>
      <c r="E35" s="306">
        <v>23602792</v>
      </c>
      <c r="F35" s="305">
        <f>B32+B33+B34+B35</f>
        <v>469070</v>
      </c>
      <c r="G35" s="305">
        <f>C32+C33+C34+C35</f>
        <v>775279</v>
      </c>
      <c r="H35" s="309">
        <f>D32+D33+D34+D35</f>
        <v>37862983</v>
      </c>
      <c r="I35" s="309">
        <f>E32+E33+E34+E35</f>
        <v>145443576</v>
      </c>
      <c r="J35" s="307">
        <f>+H35/F35</f>
        <v>80.719259385592764</v>
      </c>
      <c r="K35" s="307">
        <f>+I35/G35</f>
        <v>187.60159374883108</v>
      </c>
      <c r="L35" s="305">
        <f>F35+G35</f>
        <v>1244349</v>
      </c>
      <c r="M35" s="308">
        <f>H35+I35</f>
        <v>183306559</v>
      </c>
      <c r="N35" s="310">
        <f>M35/L35</f>
        <v>147.31121172597076</v>
      </c>
      <c r="P35" s="317">
        <f>(K35+K33)/2</f>
        <v>198.81697739536685</v>
      </c>
    </row>
    <row r="36" spans="1:16">
      <c r="A36" s="303">
        <v>40422</v>
      </c>
      <c r="B36" s="304">
        <v>191734</v>
      </c>
      <c r="C36" s="305">
        <v>231354</v>
      </c>
      <c r="D36" s="306">
        <v>11252945</v>
      </c>
      <c r="E36" s="306">
        <v>39762845</v>
      </c>
      <c r="F36" s="305"/>
      <c r="G36" s="305"/>
      <c r="H36" s="309"/>
      <c r="I36" s="309"/>
      <c r="J36" s="307"/>
      <c r="K36" s="307"/>
      <c r="L36" s="305"/>
      <c r="M36" s="308"/>
      <c r="N36" s="310"/>
      <c r="P36" s="317"/>
    </row>
    <row r="37" spans="1:16">
      <c r="A37" s="303">
        <v>40513</v>
      </c>
      <c r="B37" s="304">
        <v>140051</v>
      </c>
      <c r="C37" s="305">
        <v>289898</v>
      </c>
      <c r="D37" s="306">
        <v>12482334</v>
      </c>
      <c r="E37" s="306">
        <v>59769244</v>
      </c>
      <c r="F37" s="305">
        <f>B34+B35+B36+B37</f>
        <v>507687</v>
      </c>
      <c r="G37" s="305">
        <f>C34+C35+C36+C37</f>
        <v>777132</v>
      </c>
      <c r="H37" s="309">
        <f>D34+D35+D36+D37</f>
        <v>36632203</v>
      </c>
      <c r="I37" s="309">
        <f>E34+E35+E36+E37</f>
        <v>152165825</v>
      </c>
      <c r="J37" s="307">
        <f>+H37/F37</f>
        <v>72.155093591129969</v>
      </c>
      <c r="K37" s="307">
        <f>+I37/G37</f>
        <v>195.80434855339891</v>
      </c>
      <c r="L37" s="305">
        <f>F37+G37</f>
        <v>1284819</v>
      </c>
      <c r="M37" s="308">
        <f>H37+I37</f>
        <v>188798028</v>
      </c>
      <c r="N37" s="310">
        <f>M37/L37</f>
        <v>146.94523353094871</v>
      </c>
      <c r="P37" s="317"/>
    </row>
    <row r="38" spans="1:16">
      <c r="A38" s="303">
        <v>40603</v>
      </c>
      <c r="B38" s="304">
        <v>41227</v>
      </c>
      <c r="C38" s="305">
        <v>113371</v>
      </c>
      <c r="D38" s="306">
        <v>6404770</v>
      </c>
      <c r="E38" s="306">
        <v>28530067</v>
      </c>
      <c r="F38" s="305"/>
      <c r="G38" s="304"/>
      <c r="H38" s="312"/>
      <c r="I38" s="312"/>
      <c r="J38" s="310"/>
      <c r="K38" s="310"/>
      <c r="L38" s="305"/>
      <c r="M38" s="308"/>
      <c r="N38" s="310"/>
      <c r="P38" s="317"/>
    </row>
    <row r="39" spans="1:16">
      <c r="A39" s="303">
        <v>40695</v>
      </c>
      <c r="B39" s="304">
        <v>81021</v>
      </c>
      <c r="C39" s="305">
        <v>100889</v>
      </c>
      <c r="D39" s="306">
        <v>6045235</v>
      </c>
      <c r="E39" s="306">
        <v>23754692</v>
      </c>
      <c r="F39" s="305">
        <f>B36+B37+B38+B39</f>
        <v>454033</v>
      </c>
      <c r="G39" s="305">
        <f>C36+C37+C38+C39</f>
        <v>735512</v>
      </c>
      <c r="H39" s="309">
        <f>D36+D37+D38+D39</f>
        <v>36185284</v>
      </c>
      <c r="I39" s="309">
        <f>E36+E37+E38+E39</f>
        <v>151816848</v>
      </c>
      <c r="J39" s="307">
        <f>+H39/F39</f>
        <v>79.697475734142671</v>
      </c>
      <c r="K39" s="307">
        <f>+I39/G39</f>
        <v>206.40974994289692</v>
      </c>
      <c r="L39" s="305">
        <f>F39+G39</f>
        <v>1189545</v>
      </c>
      <c r="M39" s="308">
        <f>H39+I39</f>
        <v>188002132</v>
      </c>
      <c r="N39" s="310">
        <f>M39/L39</f>
        <v>158.04541400283301</v>
      </c>
      <c r="P39" s="317">
        <f>(K39+K37)/2</f>
        <v>201.10704924814792</v>
      </c>
    </row>
    <row r="40" spans="1:16">
      <c r="A40" s="303">
        <v>40787</v>
      </c>
      <c r="B40" s="304">
        <v>115168</v>
      </c>
      <c r="C40" s="305">
        <v>244518</v>
      </c>
      <c r="D40" s="306">
        <v>10977633</v>
      </c>
      <c r="E40" s="306">
        <v>46499250</v>
      </c>
      <c r="F40" s="305"/>
      <c r="G40" s="305"/>
      <c r="H40" s="309"/>
      <c r="I40" s="309"/>
      <c r="J40" s="307"/>
      <c r="K40" s="307"/>
      <c r="L40" s="305"/>
      <c r="M40" s="308"/>
      <c r="N40" s="310"/>
      <c r="P40" s="317"/>
    </row>
    <row r="41" spans="1:16">
      <c r="A41" s="303">
        <v>40878</v>
      </c>
      <c r="B41" s="304">
        <v>124418</v>
      </c>
      <c r="C41" s="305">
        <v>262990</v>
      </c>
      <c r="D41" s="306">
        <v>11200558</v>
      </c>
      <c r="E41" s="306">
        <v>56619476</v>
      </c>
      <c r="F41" s="305">
        <f>B38+B39+B40+B41</f>
        <v>361834</v>
      </c>
      <c r="G41" s="305">
        <f>C38+C39+C40+C41</f>
        <v>721768</v>
      </c>
      <c r="H41" s="309">
        <f>D38+D39+D40+D41</f>
        <v>34628196</v>
      </c>
      <c r="I41" s="309">
        <f>E38+E39+E40+E41</f>
        <v>155403485</v>
      </c>
      <c r="J41" s="307">
        <f>+H41/F41</f>
        <v>95.701885394960115</v>
      </c>
      <c r="K41" s="307">
        <f>+I41/G41</f>
        <v>215.3094692477361</v>
      </c>
      <c r="L41" s="305">
        <f>F41+G41</f>
        <v>1083602</v>
      </c>
      <c r="M41" s="308">
        <f>H41+I41</f>
        <v>190031681</v>
      </c>
      <c r="N41" s="310">
        <f>M41/L41</f>
        <v>175.37036753346709</v>
      </c>
      <c r="P41" s="317"/>
    </row>
    <row r="42" spans="1:16">
      <c r="A42" s="303">
        <v>40969</v>
      </c>
      <c r="B42" s="304">
        <v>59018.399999999994</v>
      </c>
      <c r="C42" s="305">
        <v>112764</v>
      </c>
      <c r="D42" s="306">
        <v>13013373.751</v>
      </c>
      <c r="E42" s="306">
        <v>22052669.074000001</v>
      </c>
      <c r="F42" s="305"/>
      <c r="G42" s="304"/>
      <c r="H42" s="312"/>
      <c r="I42" s="312"/>
      <c r="J42" s="310"/>
      <c r="K42" s="310"/>
      <c r="L42" s="305"/>
      <c r="N42" s="310"/>
      <c r="P42" s="317"/>
    </row>
    <row r="43" spans="1:16">
      <c r="A43" s="303">
        <v>41061</v>
      </c>
      <c r="B43" s="304">
        <v>106104.6</v>
      </c>
      <c r="C43" s="305">
        <v>141751</v>
      </c>
      <c r="D43" s="306">
        <v>7450376.527999999</v>
      </c>
      <c r="E43" s="306">
        <v>26704264.789999999</v>
      </c>
      <c r="F43" s="305">
        <f>B40+B41+B42+B43</f>
        <v>404709</v>
      </c>
      <c r="G43" s="305">
        <f>C40+C41+C42+C43</f>
        <v>762023</v>
      </c>
      <c r="H43" s="309">
        <f>D40+D41+D42+D43</f>
        <v>42641941.278999999</v>
      </c>
      <c r="I43" s="309">
        <f>E40+E41+E42+E43</f>
        <v>151875659.86399999</v>
      </c>
      <c r="J43" s="307">
        <f>H43/F43</f>
        <v>105.36445020743299</v>
      </c>
      <c r="K43" s="307">
        <f>I43/G43</f>
        <v>199.30587379121101</v>
      </c>
      <c r="L43" s="305">
        <f>F43+G43</f>
        <v>1166732</v>
      </c>
      <c r="M43" s="308">
        <f>H43+I43</f>
        <v>194517601.14300001</v>
      </c>
      <c r="N43" s="310">
        <f>M43/L43</f>
        <v>166.72003608626488</v>
      </c>
      <c r="P43" s="317">
        <f>(K43+K41)/2</f>
        <v>207.30767151947356</v>
      </c>
    </row>
    <row r="44" spans="1:16">
      <c r="A44" s="303">
        <v>41153</v>
      </c>
      <c r="B44" s="304">
        <v>128002.69999999998</v>
      </c>
      <c r="C44" s="305">
        <v>302186</v>
      </c>
      <c r="D44" s="306">
        <v>11062627.127999999</v>
      </c>
      <c r="E44" s="306">
        <v>55847704.339999996</v>
      </c>
      <c r="F44" s="305"/>
      <c r="G44" s="305"/>
      <c r="H44" s="309"/>
      <c r="I44" s="309"/>
      <c r="J44" s="307"/>
      <c r="K44" s="307"/>
      <c r="L44" s="305"/>
      <c r="M44" s="308"/>
      <c r="N44" s="310"/>
      <c r="P44" s="317"/>
    </row>
    <row r="45" spans="1:16">
      <c r="A45" s="303">
        <v>41244</v>
      </c>
      <c r="B45" s="304">
        <v>151942.70000000001</v>
      </c>
      <c r="C45" s="305">
        <v>355841</v>
      </c>
      <c r="D45" s="306">
        <v>15088883.214999998</v>
      </c>
      <c r="E45" s="306">
        <v>66008578.689999998</v>
      </c>
      <c r="F45" s="305">
        <f t="shared" ref="F45:I47" si="0">B42+B43+B44+B45</f>
        <v>445068.39999999997</v>
      </c>
      <c r="G45" s="305">
        <f t="shared" si="0"/>
        <v>912542</v>
      </c>
      <c r="H45" s="309">
        <f t="shared" si="0"/>
        <v>46615260.621999994</v>
      </c>
      <c r="I45" s="309">
        <f t="shared" si="0"/>
        <v>170613216.89399999</v>
      </c>
      <c r="J45" s="307">
        <f t="shared" ref="J45:K47" si="1">H45/F45</f>
        <v>104.73729571005265</v>
      </c>
      <c r="K45" s="307">
        <f t="shared" si="1"/>
        <v>186.96478287465123</v>
      </c>
      <c r="L45" s="305">
        <f>F45+G45</f>
        <v>1357610.4</v>
      </c>
      <c r="M45" s="308">
        <f>H45+I45</f>
        <v>217228477.51599997</v>
      </c>
      <c r="N45" s="310">
        <f>M45/L45</f>
        <v>160.00796510987246</v>
      </c>
      <c r="P45" s="317"/>
    </row>
    <row r="46" spans="1:16">
      <c r="A46" s="303">
        <v>41334</v>
      </c>
      <c r="B46" s="319">
        <v>56050.400000000001</v>
      </c>
      <c r="C46" s="319">
        <v>131616</v>
      </c>
      <c r="D46" s="320">
        <v>19658008.600000001</v>
      </c>
      <c r="E46" s="320">
        <v>28912936.688000001</v>
      </c>
      <c r="F46" s="305"/>
      <c r="G46" s="305"/>
      <c r="H46" s="309"/>
      <c r="I46" s="309"/>
      <c r="J46" s="307"/>
      <c r="K46" s="307"/>
      <c r="L46" s="305"/>
      <c r="M46" s="308"/>
      <c r="N46" s="310"/>
      <c r="P46" s="317"/>
    </row>
    <row r="47" spans="1:16">
      <c r="A47" s="303">
        <v>41426</v>
      </c>
      <c r="B47" s="319">
        <v>100540.99999999999</v>
      </c>
      <c r="C47" s="319">
        <v>190231</v>
      </c>
      <c r="D47" s="320">
        <v>8589611.6000000015</v>
      </c>
      <c r="E47" s="320">
        <v>32776664.719999999</v>
      </c>
      <c r="F47" s="305">
        <f t="shared" si="0"/>
        <v>436536.80000000005</v>
      </c>
      <c r="G47" s="305">
        <f t="shared" si="0"/>
        <v>979874</v>
      </c>
      <c r="H47" s="309">
        <f t="shared" si="0"/>
        <v>54399130.542999998</v>
      </c>
      <c r="I47" s="309">
        <f t="shared" si="0"/>
        <v>183545884.43799999</v>
      </c>
      <c r="J47" s="307">
        <f t="shared" si="1"/>
        <v>124.61522268683875</v>
      </c>
      <c r="K47" s="307">
        <f t="shared" si="1"/>
        <v>187.31580227457815</v>
      </c>
      <c r="L47" s="305">
        <f>F47+G47</f>
        <v>1416410.8</v>
      </c>
      <c r="M47" s="308">
        <f>H47+I47</f>
        <v>237945014.98100001</v>
      </c>
      <c r="N47" s="310">
        <f>M47/L47</f>
        <v>167.99152829179218</v>
      </c>
      <c r="P47" s="317">
        <f>(K47+K45)/2</f>
        <v>187.1402925746147</v>
      </c>
    </row>
    <row r="48" spans="1:16">
      <c r="A48" s="303">
        <v>41518</v>
      </c>
      <c r="B48" s="192">
        <v>143281</v>
      </c>
      <c r="C48" s="305">
        <v>264807</v>
      </c>
      <c r="D48" s="306">
        <v>13900096</v>
      </c>
      <c r="E48" s="306">
        <v>63612493</v>
      </c>
      <c r="F48" s="305"/>
      <c r="G48" s="305"/>
      <c r="H48" s="309"/>
      <c r="I48" s="309"/>
      <c r="J48" s="307"/>
      <c r="K48" s="307"/>
      <c r="L48" s="305"/>
      <c r="M48" s="308"/>
      <c r="N48" s="310"/>
      <c r="P48" s="317"/>
    </row>
    <row r="49" spans="1:16">
      <c r="A49" s="303">
        <v>41609</v>
      </c>
      <c r="B49" s="192">
        <v>150489.5</v>
      </c>
      <c r="C49" s="305">
        <v>347382</v>
      </c>
      <c r="D49" s="306">
        <v>16853000.800000004</v>
      </c>
      <c r="E49" s="306">
        <v>55138712</v>
      </c>
      <c r="F49" s="305">
        <f>B46+B47+B48+B49</f>
        <v>450361.9</v>
      </c>
      <c r="G49" s="305">
        <f>C46+C47+C48+C49</f>
        <v>934036</v>
      </c>
      <c r="H49" s="309">
        <f>D46+D47+D48+D49</f>
        <v>59000717.000000007</v>
      </c>
      <c r="I49" s="309">
        <f>E46+E47+E48+E49</f>
        <v>180440806.40799999</v>
      </c>
      <c r="J49" s="307">
        <f>H49/F49</f>
        <v>131.00734542597854</v>
      </c>
      <c r="K49" s="307">
        <f>I49/G49</f>
        <v>193.18399548625533</v>
      </c>
      <c r="L49" s="305">
        <f>F49+G49</f>
        <v>1384397.9</v>
      </c>
      <c r="M49" s="308">
        <f>H49+I49</f>
        <v>239441523.40799999</v>
      </c>
      <c r="N49" s="310">
        <f>M49/L49</f>
        <v>172.95715589282534</v>
      </c>
      <c r="P49" s="317"/>
    </row>
    <row r="50" spans="1:16">
      <c r="A50" s="321" t="s">
        <v>70</v>
      </c>
      <c r="B50" s="322">
        <f>Quarterly_Adjusted_Figures!BO9</f>
        <v>44170.9</v>
      </c>
      <c r="C50" s="322">
        <f>Quarterly_Adjusted_Figures!BO10</f>
        <v>136386</v>
      </c>
      <c r="D50" s="323">
        <v>6177019.0999999996</v>
      </c>
      <c r="E50" s="323">
        <v>37538767.469999999</v>
      </c>
      <c r="F50" s="305"/>
      <c r="G50" s="305"/>
      <c r="H50" s="309"/>
      <c r="I50" s="309"/>
      <c r="J50" s="307"/>
      <c r="K50" s="307"/>
      <c r="L50" s="305"/>
      <c r="M50" s="308"/>
      <c r="N50" s="310"/>
      <c r="P50" s="317"/>
    </row>
    <row r="51" spans="1:16">
      <c r="A51" s="303">
        <v>41791</v>
      </c>
      <c r="B51" s="192">
        <f>Monthly_Imports!K34+Monthly_Imports!L34+Monthly_Imports!M34</f>
        <v>86792</v>
      </c>
      <c r="C51" s="192">
        <f>Monthly_Imports!K35+Monthly_Imports!L35+Monthly_Imports!M35</f>
        <v>154237</v>
      </c>
      <c r="D51" s="323">
        <v>5254722</v>
      </c>
      <c r="E51" s="323">
        <v>38360105</v>
      </c>
      <c r="F51" s="305">
        <f>B48+B49+B50+B51</f>
        <v>424733.4</v>
      </c>
      <c r="G51" s="305">
        <f>C48+C49+C50+C51</f>
        <v>902812</v>
      </c>
      <c r="H51" s="309">
        <f>D48+D49+D50+D51</f>
        <v>42184837.900000006</v>
      </c>
      <c r="I51" s="309">
        <f>E48+E49+E50+E51</f>
        <v>194650077.47</v>
      </c>
      <c r="J51" s="307">
        <f>H51/F51</f>
        <v>99.320745437020037</v>
      </c>
      <c r="K51" s="307">
        <f>I51/G51</f>
        <v>215.60422044678182</v>
      </c>
      <c r="L51" s="305">
        <f>F51+G51</f>
        <v>1327545.3999999999</v>
      </c>
      <c r="M51" s="308">
        <f>H51+I51</f>
        <v>236834915.37</v>
      </c>
      <c r="N51" s="310">
        <f>M51/L51</f>
        <v>178.40061467577684</v>
      </c>
      <c r="P51" s="317">
        <f>(K51+K49)/2</f>
        <v>204.39410796651856</v>
      </c>
    </row>
    <row r="52" spans="1:16">
      <c r="A52" s="303">
        <v>41883</v>
      </c>
      <c r="B52" s="192">
        <f>Monthly_Imports!B40+Monthly_Imports!C40+Monthly_Imports!D40</f>
        <v>133591</v>
      </c>
      <c r="C52" s="192">
        <f>Monthly_Imports!B41+Monthly_Imports!C41+Monthly_Imports!D41</f>
        <v>289046</v>
      </c>
      <c r="D52" s="323">
        <v>11076000.6</v>
      </c>
      <c r="E52" s="323">
        <v>58164632</v>
      </c>
      <c r="F52" s="305"/>
      <c r="G52" s="305"/>
      <c r="H52" s="309"/>
      <c r="I52" s="309"/>
      <c r="J52" s="307"/>
      <c r="K52" s="307"/>
      <c r="L52" s="305"/>
      <c r="M52" s="308"/>
      <c r="N52" s="310"/>
      <c r="P52" s="317"/>
    </row>
    <row r="53" spans="1:16">
      <c r="A53" s="303">
        <v>41974</v>
      </c>
      <c r="B53" s="192">
        <f>Quarterly_Adjusted_Figures!BR9</f>
        <v>176811</v>
      </c>
      <c r="C53" s="192">
        <f>Quarterly_Adjusted_Figures!BR10</f>
        <v>364632</v>
      </c>
      <c r="D53" s="323">
        <v>13934277.048999999</v>
      </c>
      <c r="E53" s="323">
        <v>81650194.230000004</v>
      </c>
      <c r="F53" s="305">
        <f>B50+B51+B52+B53</f>
        <v>441364.9</v>
      </c>
      <c r="G53" s="305">
        <f>C50+C51+C52+C53</f>
        <v>944301</v>
      </c>
      <c r="H53" s="309">
        <f>D50+D51+D52+D53</f>
        <v>36442018.748999998</v>
      </c>
      <c r="I53" s="309">
        <f>E50+E51+E52+E53</f>
        <v>215713698.69999999</v>
      </c>
      <c r="J53" s="307">
        <f>H53/F53</f>
        <v>82.566644400132404</v>
      </c>
      <c r="K53" s="307">
        <f>I53/G53</f>
        <v>228.43743541519069</v>
      </c>
      <c r="L53" s="305">
        <f>F53+G53</f>
        <v>1385665.9</v>
      </c>
      <c r="M53" s="308">
        <f>H53+I53</f>
        <v>252155717.449</v>
      </c>
      <c r="N53" s="310">
        <f>M53/L53</f>
        <v>181.97439761561571</v>
      </c>
      <c r="P53" s="317"/>
    </row>
    <row r="54" spans="1:16">
      <c r="A54" s="303">
        <v>42064</v>
      </c>
      <c r="B54" s="192">
        <f>Quarterly_Adjusted_Figures!BS9</f>
        <v>48535</v>
      </c>
      <c r="C54" s="192">
        <f>Quarterly_Adjusted_Figures!BS10</f>
        <v>127944</v>
      </c>
      <c r="D54" s="323">
        <v>4704842</v>
      </c>
      <c r="E54" s="323">
        <v>37221563</v>
      </c>
      <c r="P54" s="317"/>
    </row>
    <row r="55" spans="1:16">
      <c r="A55" s="303">
        <v>42156</v>
      </c>
      <c r="B55" s="192">
        <f>Quarterly_Adjusted_Figures!BT9</f>
        <v>114129</v>
      </c>
      <c r="C55" s="192">
        <f>Quarterly_Adjusted_Figures!BT10</f>
        <v>165137</v>
      </c>
      <c r="D55" s="323">
        <v>7480796</v>
      </c>
      <c r="E55" s="323">
        <v>35621964</v>
      </c>
      <c r="F55" s="192">
        <f>B52+B53+B54+B55</f>
        <v>473066</v>
      </c>
      <c r="G55" s="192">
        <f>SUM(C52:C55)</f>
        <v>946759</v>
      </c>
      <c r="H55" s="324">
        <f>SUM(D52:D55)</f>
        <v>37195915.648999996</v>
      </c>
      <c r="I55" s="324">
        <f>SUM(E52:E55)</f>
        <v>212658353.23000002</v>
      </c>
      <c r="J55" s="317">
        <f>H55/F55</f>
        <v>78.62732821424494</v>
      </c>
      <c r="K55" s="317">
        <f>I55/G55</f>
        <v>224.61719743884137</v>
      </c>
      <c r="L55" s="192">
        <f>F55+G55</f>
        <v>1419825</v>
      </c>
      <c r="M55" s="317">
        <f>H55+I55</f>
        <v>249854268.87900001</v>
      </c>
      <c r="N55" s="317">
        <f>M55/L55</f>
        <v>175.97539758702658</v>
      </c>
      <c r="P55" s="317">
        <f>(K55+K53)/2</f>
        <v>226.52731642701605</v>
      </c>
    </row>
    <row r="56" spans="1:16">
      <c r="A56" s="303">
        <v>42248</v>
      </c>
      <c r="B56" s="192">
        <f>Quarterly_Adjusted_Figures!BU9</f>
        <v>132505</v>
      </c>
      <c r="C56" s="192">
        <f>Quarterly_Adjusted_Figures!BU10</f>
        <v>302352</v>
      </c>
      <c r="D56" s="323">
        <v>13557955.599999998</v>
      </c>
      <c r="E56" s="323">
        <v>78573632</v>
      </c>
      <c r="H56" s="324"/>
      <c r="I56" s="324"/>
      <c r="J56" s="317"/>
      <c r="K56" s="317"/>
      <c r="L56" s="192"/>
      <c r="M56" s="317"/>
      <c r="N56" s="317"/>
      <c r="P56" s="317"/>
    </row>
    <row r="57" spans="1:16">
      <c r="A57" s="303">
        <v>42339</v>
      </c>
      <c r="B57" s="192">
        <f>Quarterly_Adjusted_Figures!BV9</f>
        <v>205220</v>
      </c>
      <c r="C57" s="192">
        <f>Quarterly_Adjusted_Figures!BV10</f>
        <v>282753</v>
      </c>
      <c r="D57" s="323">
        <f>26822324</f>
        <v>26822324</v>
      </c>
      <c r="E57" s="323">
        <v>84084281</v>
      </c>
      <c r="F57" s="192">
        <f>B54+B55+B56+B57</f>
        <v>500389</v>
      </c>
      <c r="G57" s="192">
        <f>SUM(C54:C57)</f>
        <v>878186</v>
      </c>
      <c r="H57" s="324">
        <f>SUM(D54:D57)</f>
        <v>52565917.599999994</v>
      </c>
      <c r="I57" s="324">
        <f>SUM(E54:E57)</f>
        <v>235501440</v>
      </c>
      <c r="J57" s="317">
        <f>H57/F57</f>
        <v>105.05010621736288</v>
      </c>
      <c r="K57" s="317">
        <f>I57/G57</f>
        <v>268.16806462412291</v>
      </c>
      <c r="L57" s="192">
        <f>F57+G57</f>
        <v>1378575</v>
      </c>
      <c r="M57" s="317">
        <f>H57+I57</f>
        <v>288067357.60000002</v>
      </c>
      <c r="N57" s="317">
        <f>M57/L57</f>
        <v>208.96023618591664</v>
      </c>
      <c r="P57" s="317"/>
    </row>
    <row r="58" spans="1:16">
      <c r="A58" s="303">
        <v>42445</v>
      </c>
      <c r="B58" s="192">
        <f>'Import Value MNTH'!B13+'Import Value MNTH'!B14+'Import Value MNTH'!B15</f>
        <v>59540</v>
      </c>
      <c r="C58" s="192">
        <f>'Import Value MNTH'!C13+'Import Value MNTH'!C14+'Import Value MNTH'!C15</f>
        <v>112663</v>
      </c>
      <c r="D58" s="323">
        <f>'Import Value MNTH'!H15</f>
        <v>5497252.4979999997</v>
      </c>
      <c r="E58" s="323">
        <f>'Import Value MNTH'!I15</f>
        <v>37700127.770000003</v>
      </c>
      <c r="F58" s="192"/>
      <c r="G58" s="192"/>
      <c r="H58" s="324"/>
      <c r="I58" s="324"/>
      <c r="J58" s="317"/>
      <c r="K58" s="317"/>
      <c r="L58" s="192"/>
      <c r="M58" s="317"/>
      <c r="N58" s="317"/>
      <c r="P58" s="317"/>
    </row>
    <row r="59" spans="1:16">
      <c r="A59" s="321" t="s">
        <v>71</v>
      </c>
      <c r="B59" s="192">
        <f>'Import Value MNTH'!B16+'Import Value MNTH'!B17+'Import Value MNTH'!B18</f>
        <v>65587.7</v>
      </c>
      <c r="C59" s="192">
        <f>'Import Value MNTH'!G18</f>
        <v>121456</v>
      </c>
      <c r="D59" s="323">
        <f>'Import Value MNTH'!H18</f>
        <v>4951579.1519999998</v>
      </c>
      <c r="E59" s="323">
        <f>'Import Value MNTH'!I18</f>
        <v>30730345.759999998</v>
      </c>
      <c r="F59" s="192">
        <f>B56+B57+B58+B59</f>
        <v>462852.7</v>
      </c>
      <c r="G59" s="192">
        <f>SUM(C56:C59)</f>
        <v>819224</v>
      </c>
      <c r="H59" s="324">
        <f>SUM(D56:D59)</f>
        <v>50829111.249999993</v>
      </c>
      <c r="I59" s="324">
        <f>SUM(E56:E59)</f>
        <v>231088386.53</v>
      </c>
      <c r="J59" s="317">
        <f>H59/F59</f>
        <v>109.81703520364036</v>
      </c>
      <c r="K59" s="317">
        <f>I59/G59</f>
        <v>282.0820514657774</v>
      </c>
      <c r="L59" s="192">
        <f>F59+G59</f>
        <v>1282076.7</v>
      </c>
      <c r="M59" s="317">
        <f>H59+I59</f>
        <v>281917497.77999997</v>
      </c>
      <c r="N59" s="317">
        <f>M59/L59</f>
        <v>219.89128870371016</v>
      </c>
      <c r="P59" s="317">
        <f>(K59+K57)/2</f>
        <v>275.12505804495015</v>
      </c>
    </row>
    <row r="60" spans="1:16">
      <c r="A60" s="321" t="s">
        <v>72</v>
      </c>
      <c r="B60" s="192">
        <f>'Import Value MNTH'!F21</f>
        <v>101758</v>
      </c>
      <c r="C60" s="192">
        <f>'Import Value MNTH'!G21</f>
        <v>246032</v>
      </c>
      <c r="D60" s="323">
        <f>'Import Value MNTH'!H21</f>
        <v>10726088.199999999</v>
      </c>
      <c r="E60" s="323">
        <f>'Import Value MNTH'!I21</f>
        <v>68437621.659999996</v>
      </c>
      <c r="F60" s="192"/>
      <c r="G60" s="192"/>
      <c r="H60" s="324"/>
      <c r="I60" s="324"/>
      <c r="J60" s="317"/>
      <c r="K60" s="317"/>
      <c r="L60" s="192"/>
      <c r="M60" s="317"/>
      <c r="N60" s="317"/>
      <c r="P60" s="317"/>
    </row>
    <row r="61" spans="1:16">
      <c r="A61" s="303">
        <v>43085</v>
      </c>
      <c r="B61" s="192">
        <f>'Import Value MNTH'!B22+'Import Value MNTH'!B23+'Import Value MNTH'!B24</f>
        <v>171140</v>
      </c>
      <c r="C61" s="192">
        <f>'Import Value MNTH'!C22+'Import Value MNTH'!C23+'Import Value MNTH'!C24</f>
        <v>284232</v>
      </c>
      <c r="D61" s="323">
        <f>'Import Value MNTH'!D22+'Import Value MNTH'!D23+'Import Value MNTH'!D24</f>
        <v>14447372.539999999</v>
      </c>
      <c r="E61" s="323">
        <f>'Import Value MNTH'!E22+'Import Value MNTH'!E23+'Import Value MNTH'!E24</f>
        <v>76031635.400000006</v>
      </c>
      <c r="F61" s="192">
        <f>B58+B59+B60+B61</f>
        <v>398025.7</v>
      </c>
      <c r="G61" s="192">
        <f>SUM(C58:C61)</f>
        <v>764383</v>
      </c>
      <c r="H61" s="324">
        <f>SUM(D58:D61)</f>
        <v>35622292.390000001</v>
      </c>
      <c r="I61" s="324">
        <f>SUM(E58:E61)</f>
        <v>212899730.59</v>
      </c>
      <c r="J61" s="317">
        <f>H61/F61</f>
        <v>89.497468103190315</v>
      </c>
      <c r="K61" s="317">
        <f>I61/G61</f>
        <v>278.52494180273504</v>
      </c>
      <c r="L61" s="192">
        <f>F61+G61</f>
        <v>1162408.7</v>
      </c>
      <c r="M61" s="317">
        <f>H61+I61</f>
        <v>248522022.98000002</v>
      </c>
      <c r="N61" s="317">
        <f>M61/L61</f>
        <v>213.79917664071166</v>
      </c>
      <c r="P61" s="317"/>
    </row>
    <row r="62" spans="1:16">
      <c r="A62" s="303">
        <v>42795</v>
      </c>
      <c r="B62" s="192">
        <f>Monthly_Imports!H52+Monthly_Imports!I52+Monthly_Imports!J52</f>
        <v>67284.899999999994</v>
      </c>
      <c r="C62" s="192">
        <f>Monthly_Imports!H53+Monthly_Imports!I53+Monthly_Imports!J53</f>
        <v>145341</v>
      </c>
      <c r="D62" s="323">
        <f>([1]D4301381!$E$35+[1]D4301381!$E$21+[1]D4301381!$E$7)*0.8</f>
        <v>5737894.6960000005</v>
      </c>
      <c r="E62" s="323">
        <f>[1]D4301381!$E$8+[1]D4301381!$E$22+[1]D4301381!$E$36</f>
        <v>41191847.409999996</v>
      </c>
      <c r="F62" s="192"/>
      <c r="G62" s="192"/>
      <c r="H62" s="324"/>
      <c r="I62" s="324"/>
      <c r="J62" s="317"/>
      <c r="K62" s="317"/>
      <c r="L62" s="192"/>
      <c r="M62" s="317"/>
      <c r="N62" s="317"/>
      <c r="P62" s="317"/>
    </row>
    <row r="63" spans="1:16">
      <c r="A63" s="303">
        <v>42903</v>
      </c>
      <c r="B63" s="192">
        <f>Quarterly_Adjusted_Figures!CB9</f>
        <v>42490</v>
      </c>
      <c r="C63" s="192">
        <f>Quarterly_Adjusted_Figures!CB10</f>
        <v>119506</v>
      </c>
      <c r="D63" s="323">
        <f>'Import Value MNTH'!D29+'Import Value MNTH'!D30+'Import Value MNTH'!D31</f>
        <v>3935460.0720000002</v>
      </c>
      <c r="E63" s="323">
        <f>'Import Value MNTH'!E29+'Import Value MNTH'!E30+'Import Value MNTH'!E31</f>
        <v>33779373.840000004</v>
      </c>
      <c r="F63" s="192">
        <f>B60+B61+B62+B63</f>
        <v>382672.9</v>
      </c>
      <c r="G63" s="192">
        <f>SUM(C60:C63)</f>
        <v>795111</v>
      </c>
      <c r="H63" s="324">
        <f>SUM(D60:D63)</f>
        <v>34846815.507999994</v>
      </c>
      <c r="I63" s="324">
        <f>SUM(E60:E63)</f>
        <v>219440478.31</v>
      </c>
      <c r="J63" s="317">
        <f>H63/F63</f>
        <v>91.061623407353878</v>
      </c>
      <c r="K63" s="317">
        <f>I63/G63</f>
        <v>275.98722481515159</v>
      </c>
      <c r="L63" s="192">
        <f>F63+G63</f>
        <v>1177783.8999999999</v>
      </c>
      <c r="M63" s="317">
        <f>H63+I63</f>
        <v>254287293.81799999</v>
      </c>
      <c r="N63" s="317">
        <f>M63/L63</f>
        <v>215.90318378269563</v>
      </c>
      <c r="P63" s="317">
        <f>(K63+K61)/2</f>
        <v>277.25608330894329</v>
      </c>
    </row>
    <row r="64" spans="1:16">
      <c r="A64" s="303">
        <v>42979</v>
      </c>
      <c r="B64" s="192">
        <f>'Import Value MNTH'!B32+'Import Value MNTH'!B33+'Import Value MNTH'!B34</f>
        <v>129920</v>
      </c>
      <c r="C64" s="192">
        <f>'Import Value MNTH'!C32+'Import Value MNTH'!C33+'Import Value MNTH'!C34</f>
        <v>221263</v>
      </c>
      <c r="D64" s="323">
        <f>'Import Value MNTH'!D32+'Import Value MNTH'!D33+'Import Value MNTH'!D34</f>
        <v>11119302</v>
      </c>
      <c r="E64" s="323">
        <f>'Import Value MNTH'!E32+'Import Value MNTH'!E33+'Import Value MNTH'!E34</f>
        <v>57174444.700000003</v>
      </c>
      <c r="F64" s="192"/>
      <c r="G64" s="192"/>
      <c r="H64" s="324"/>
      <c r="I64" s="324"/>
      <c r="J64" s="317"/>
      <c r="K64" s="317"/>
      <c r="L64" s="192"/>
      <c r="M64" s="317"/>
      <c r="N64" s="317"/>
      <c r="P64" s="317"/>
    </row>
    <row r="65" spans="1:16">
      <c r="A65" s="303">
        <v>43070</v>
      </c>
      <c r="B65" s="192">
        <f>'Import Value MNTH'!B35+'Import Value MNTH'!B36+'Import Value MNTH'!B37</f>
        <v>181807</v>
      </c>
      <c r="C65" s="192">
        <f>'Import Value MNTH'!C35+'Import Value MNTH'!C36+'Import Value MNTH'!C37</f>
        <v>319585</v>
      </c>
      <c r="D65" s="323">
        <f>'Import Value MNTH'!D35+'Import Value MNTH'!D36+'Import Value MNTH'!D37</f>
        <v>14087252</v>
      </c>
      <c r="E65" s="323">
        <f>'Import Value MNTH'!E35+'Import Value MNTH'!E36+'Import Value MNTH'!E37</f>
        <v>80085857</v>
      </c>
      <c r="F65" s="192">
        <f>B62+B63+B64+B65</f>
        <v>421501.9</v>
      </c>
      <c r="G65" s="192">
        <f>SUM(C62:C65)</f>
        <v>805695</v>
      </c>
      <c r="H65" s="324">
        <f>SUM(D62:D65)</f>
        <v>34879908.767999999</v>
      </c>
      <c r="I65" s="324">
        <f>SUM(E62:E65)</f>
        <v>212231522.94999999</v>
      </c>
      <c r="J65" s="317">
        <f>H65/F65</f>
        <v>82.75148645356046</v>
      </c>
      <c r="K65" s="317">
        <f>I65/G65</f>
        <v>263.41422368265904</v>
      </c>
      <c r="L65" s="192">
        <f>F65+G65</f>
        <v>1227196.8999999999</v>
      </c>
      <c r="M65" s="317">
        <f>H65+I65</f>
        <v>247111431.71799999</v>
      </c>
      <c r="N65" s="317">
        <f>M65/L65</f>
        <v>201.36249669307347</v>
      </c>
      <c r="P65" s="317"/>
    </row>
    <row r="66" spans="1:16">
      <c r="A66" s="303">
        <v>43160</v>
      </c>
      <c r="B66" s="192">
        <f>'Import Value MNTH'!B39+'Import Value MNTH'!B40+'Import Value MNTH'!B41</f>
        <v>67751</v>
      </c>
      <c r="C66" s="192">
        <f>'Import Value MNTH'!C39+'Import Value MNTH'!C40+'Import Value MNTH'!C41</f>
        <v>165152</v>
      </c>
      <c r="D66" s="323">
        <f>'Import Value MNTH'!D39+'Import Value MNTH'!D40+'Import Value MNTH'!D41</f>
        <v>5380943</v>
      </c>
      <c r="E66" s="320">
        <f>'Import Value MNTH'!E39+'Import Value MNTH'!E40+'Import Value MNTH'!E41</f>
        <v>45673219</v>
      </c>
      <c r="F66" s="192"/>
      <c r="G66" s="192"/>
      <c r="H66" s="324"/>
      <c r="I66" s="324"/>
      <c r="J66" s="317"/>
      <c r="K66" s="317"/>
      <c r="L66" s="192"/>
      <c r="M66" s="317"/>
      <c r="N66" s="317"/>
      <c r="P66" s="317"/>
    </row>
    <row r="67" spans="1:16">
      <c r="A67" s="303">
        <v>43252</v>
      </c>
      <c r="B67" s="192">
        <f>'Import Value MNTH'!B42+'Import Value MNTH'!B43+'Import Value MNTH'!B44</f>
        <v>61870</v>
      </c>
      <c r="C67" s="192">
        <f>'Import Value MNTH'!C42+'Import Value MNTH'!C43+'Import Value MNTH'!C44</f>
        <v>131366</v>
      </c>
      <c r="D67" s="323">
        <f>'Import Value MNTH'!D42+'Import Value MNTH'!D43+'Import Value MNTH'!D44</f>
        <v>5093358.4000000004</v>
      </c>
      <c r="E67" s="323">
        <f>'Import Value MNTH'!E42+'Import Value MNTH'!E43+'Import Value MNTH'!E44</f>
        <v>41529865</v>
      </c>
      <c r="F67" s="192">
        <f>B64+B65+B66+B67</f>
        <v>441348</v>
      </c>
      <c r="G67" s="192">
        <f>SUM(C64:C67)</f>
        <v>837366</v>
      </c>
      <c r="H67" s="324">
        <f>SUM(D64:D67)</f>
        <v>35680855.399999999</v>
      </c>
      <c r="I67" s="324">
        <f>SUM(E64:E67)</f>
        <v>224463385.69999999</v>
      </c>
      <c r="J67" s="317">
        <f>H67/F67</f>
        <v>80.845172970082558</v>
      </c>
      <c r="K67" s="317">
        <f>I67/G67</f>
        <v>268.05887234494833</v>
      </c>
      <c r="L67" s="192">
        <f>F67+G67</f>
        <v>1278714</v>
      </c>
      <c r="M67" s="317">
        <f>H67+I67</f>
        <v>260144241.09999999</v>
      </c>
      <c r="N67" s="317">
        <f>M67/L67</f>
        <v>203.44208407822234</v>
      </c>
      <c r="P67" s="317">
        <f>(K67+K65)/2</f>
        <v>265.73654801380371</v>
      </c>
    </row>
    <row r="68" spans="1:16">
      <c r="A68" s="303">
        <v>43344</v>
      </c>
      <c r="B68" s="192">
        <f>'Import Value MNTH'!B45+'Import Value MNTH'!B46+'Import Value MNTH'!B47</f>
        <v>115065</v>
      </c>
      <c r="C68" s="192">
        <f>'Import Value MNTH'!C45+'Import Value MNTH'!C46+'Import Value MNTH'!C47</f>
        <v>227645</v>
      </c>
      <c r="D68" s="323">
        <f>'Import Value MNTH'!D45+'Import Value MNTH'!D46+'Import Value MNTH'!D47</f>
        <v>12241923</v>
      </c>
      <c r="E68" s="323">
        <f>'Import Value MNTH'!E45+'Import Value MNTH'!E46+'Import Value MNTH'!E47</f>
        <v>62942737</v>
      </c>
      <c r="F68" s="192"/>
      <c r="G68" s="192"/>
      <c r="H68" s="324"/>
      <c r="I68" s="324"/>
      <c r="J68" s="317"/>
      <c r="K68" s="317"/>
      <c r="L68" s="192"/>
      <c r="M68" s="317"/>
      <c r="N68" s="317"/>
      <c r="P68" s="317"/>
    </row>
    <row r="69" spans="1:16">
      <c r="A69" s="303">
        <v>43435</v>
      </c>
      <c r="B69" s="192">
        <f>'Import Value MNTH'!B48+'Import Value MNTH'!B49+'Import Value MNTH'!B50</f>
        <v>161742</v>
      </c>
      <c r="C69" s="192">
        <f>'Import Value MNTH'!C46+'Import Value MNTH'!C47+'Import Value MNTH'!C48</f>
        <v>273065</v>
      </c>
      <c r="D69" s="323">
        <f>'Import Value MNTH'!D46+'Import Value MNTH'!D47+'Import Value MNTH'!D48</f>
        <v>16095315</v>
      </c>
      <c r="E69" s="323">
        <f>'Import Value MNTH'!E46+'Import Value MNTH'!E47+'Import Value MNTH'!E48</f>
        <v>68929557</v>
      </c>
      <c r="F69" s="192">
        <f>B66+B67+B68+B69</f>
        <v>406428</v>
      </c>
      <c r="G69" s="192">
        <f>SUM(C66:C69)</f>
        <v>797228</v>
      </c>
      <c r="H69" s="324">
        <f>SUM(D66:D69)</f>
        <v>38811539.399999999</v>
      </c>
      <c r="I69" s="324">
        <f>SUM(E66:E69)</f>
        <v>219075378</v>
      </c>
      <c r="J69" s="317">
        <f>H69/F69</f>
        <v>95.494255809147006</v>
      </c>
      <c r="K69" s="317">
        <f>I69/G69</f>
        <v>274.79639199827403</v>
      </c>
      <c r="L69" s="192">
        <f>F69+G69</f>
        <v>1203656</v>
      </c>
      <c r="M69" s="317">
        <f>H69+I69</f>
        <v>257886917.40000001</v>
      </c>
      <c r="N69" s="317">
        <f>M69/L69</f>
        <v>214.25300700532378</v>
      </c>
      <c r="P69" s="317"/>
    </row>
    <row r="70" spans="1:16">
      <c r="A70" s="303">
        <v>43525</v>
      </c>
      <c r="B70" s="192">
        <f>'Import Value MNTH'!F54</f>
        <v>68995</v>
      </c>
      <c r="C70" s="192">
        <f>'Import Value MNTH'!G54</f>
        <v>129782</v>
      </c>
      <c r="D70" s="320">
        <f>'Import Value MNTH'!H54</f>
        <v>6504978</v>
      </c>
      <c r="E70" s="320">
        <f>'Import Value MNTH'!I54</f>
        <v>40634657</v>
      </c>
      <c r="F70" s="192"/>
      <c r="G70" s="192"/>
      <c r="H70" s="324"/>
      <c r="I70" s="324"/>
      <c r="J70" s="317"/>
      <c r="K70" s="317"/>
      <c r="L70" s="192"/>
      <c r="M70" s="317"/>
      <c r="N70" s="317"/>
      <c r="P70" s="317"/>
    </row>
    <row r="71" spans="1:16">
      <c r="A71" s="303">
        <v>43617</v>
      </c>
      <c r="B71" s="192">
        <f>'Import Value MNTH'!B55+'Import Value MNTH'!B56+'Import Value MNTH'!B57</f>
        <v>66770</v>
      </c>
      <c r="C71" s="192">
        <f>'Import Value MNTH'!C55+'Import Value MNTH'!C56+'Import Value MNTH'!C57</f>
        <v>124397</v>
      </c>
      <c r="D71" s="320">
        <f>'Import Value MNTH'!D55+'Import Value MNTH'!D56+'Import Value MNTH'!D57</f>
        <v>5754082</v>
      </c>
      <c r="E71" s="320">
        <f>'Import Value MNTH'!E55+'Import Value MNTH'!E56+'Import Value MNTH'!E57</f>
        <v>36173586</v>
      </c>
      <c r="F71" s="192">
        <f>B68+B69+B70+B71</f>
        <v>412572</v>
      </c>
      <c r="G71" s="192">
        <f>SUM(C68:C71)</f>
        <v>754889</v>
      </c>
      <c r="H71" s="324">
        <f>SUM(D68:D71)</f>
        <v>40596298</v>
      </c>
      <c r="I71" s="324">
        <f>SUM(E68:E71)</f>
        <v>208680537</v>
      </c>
      <c r="J71" s="317">
        <f>H71/F71</f>
        <v>98.398092938929452</v>
      </c>
      <c r="K71" s="317">
        <f>I71/G71</f>
        <v>276.4387042333376</v>
      </c>
      <c r="L71" s="192">
        <f>F71+G71</f>
        <v>1167461</v>
      </c>
      <c r="M71" s="317">
        <f>H71+I71</f>
        <v>249276835</v>
      </c>
      <c r="N71" s="317">
        <f>M71/L71</f>
        <v>213.52048162636697</v>
      </c>
      <c r="P71" s="317">
        <f>(K71+K69)/2</f>
        <v>275.61754811580579</v>
      </c>
    </row>
    <row r="72" spans="1:16">
      <c r="A72" s="303">
        <v>43709</v>
      </c>
      <c r="B72" s="192">
        <f>'Import Value MNTH'!B58+'Import Value MNTH'!B59+'Import Value MNTH'!B60</f>
        <v>114258</v>
      </c>
      <c r="C72" s="192">
        <f>'Import Value MNTH'!C58+'Import Value MNTH'!C59+'Import Value MNTH'!C60</f>
        <v>233864</v>
      </c>
      <c r="D72" s="323">
        <f>'Import Value MNTH'!D58+'Import Value MNTH'!D59+'Import Value MNTH'!D60</f>
        <v>10941848</v>
      </c>
      <c r="E72" s="323">
        <f>'Import Value MNTH'!E58+'Import Value MNTH'!E59+'Import Value MNTH'!E60</f>
        <v>76692274.099999994</v>
      </c>
      <c r="F72" s="192"/>
      <c r="G72" s="192"/>
      <c r="H72" s="324"/>
      <c r="I72" s="324"/>
      <c r="J72" s="317"/>
      <c r="K72" s="317"/>
      <c r="L72" s="192"/>
      <c r="M72" s="317"/>
      <c r="N72" s="317"/>
      <c r="P72" s="317"/>
    </row>
    <row r="73" spans="1:16">
      <c r="A73" s="303">
        <v>43800</v>
      </c>
      <c r="B73" s="192">
        <f>'Import Value MNTH'!B61+'Import Value MNTH'!B62+'Import Value MNTH'!B63</f>
        <v>181959</v>
      </c>
      <c r="C73" s="192">
        <f>'Import Value MNTH'!C61+'Import Value MNTH'!C62+'Import Value MNTH'!C63</f>
        <v>267892</v>
      </c>
      <c r="D73" s="323">
        <f>'Import Value MNTH'!D61+'Import Value MNTH'!D62+'Import Value MNTH'!D63</f>
        <v>16553483</v>
      </c>
      <c r="E73" s="323">
        <f>'Import Value MNTH'!E61+'Import Value MNTH'!E62+'Import Value MNTH'!E63</f>
        <v>79367142</v>
      </c>
      <c r="F73" s="192">
        <f>B70+B71+B72+B73</f>
        <v>431982</v>
      </c>
      <c r="G73" s="192">
        <f>SUM(C70:C73)</f>
        <v>755935</v>
      </c>
      <c r="H73" s="324">
        <f>SUM(D70:D73)</f>
        <v>39754391</v>
      </c>
      <c r="I73" s="324">
        <f>SUM(E70:E73)</f>
        <v>232867659.09999999</v>
      </c>
      <c r="J73" s="317">
        <f>H73/F73</f>
        <v>92.027887736063079</v>
      </c>
      <c r="K73" s="317">
        <f>I73/G73</f>
        <v>308.05249009504786</v>
      </c>
      <c r="L73" s="192">
        <f>F73+G73</f>
        <v>1187917</v>
      </c>
      <c r="M73" s="317">
        <f>H73+I73</f>
        <v>272622050.10000002</v>
      </c>
      <c r="N73" s="317">
        <f>M73/L73</f>
        <v>229.49587395415676</v>
      </c>
      <c r="P73" s="317"/>
    </row>
    <row r="74" spans="1:16">
      <c r="A74" s="303">
        <v>43891</v>
      </c>
      <c r="B74" s="192">
        <f>'Import Value MNTH'!B65+'Import Value MNTH'!B66+'Import Value MNTH'!B67</f>
        <v>45390</v>
      </c>
      <c r="C74" s="192">
        <f>'Import Value MNTH'!C65+'Import Value MNTH'!C66+'Import Value MNTH'!C67</f>
        <v>108036</v>
      </c>
      <c r="D74" s="323">
        <f>'Import Value MNTH'!D65+'Import Value MNTH'!D66+'Import Value MNTH'!D67</f>
        <v>5139760</v>
      </c>
      <c r="E74" s="323">
        <f>'Import Value MNTH'!E65+'Import Value MNTH'!E66+'Import Value MNTH'!E67</f>
        <v>38274955</v>
      </c>
      <c r="F74" s="192"/>
      <c r="G74" s="192"/>
      <c r="H74" s="192"/>
      <c r="I74" s="192"/>
      <c r="J74" s="192"/>
      <c r="K74" s="192"/>
      <c r="L74" s="192"/>
      <c r="M74" s="192"/>
      <c r="N74" s="192"/>
    </row>
  </sheetData>
  <mergeCells count="1">
    <mergeCell ref="A1:XFD9"/>
  </mergeCells>
  <phoneticPr fontId="3" type="noConversion"/>
  <pageMargins left="0.7" right="0.7" top="0.75" bottom="0.75" header="0.5" footer="0.5"/>
  <pageSetup paperSize="10" orientation="portrait" horizontalDpi="4294967292" verticalDpi="429496729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69"/>
  <sheetViews>
    <sheetView topLeftCell="A49" workbookViewId="0">
      <selection activeCell="F81" sqref="F81"/>
    </sheetView>
  </sheetViews>
  <sheetFormatPr defaultColWidth="10.85546875" defaultRowHeight="12"/>
  <cols>
    <col min="1" max="1" width="8.28515625" style="139" customWidth="1"/>
    <col min="2" max="2" width="8.140625" style="139" customWidth="1"/>
    <col min="3" max="3" width="8.85546875" style="139" customWidth="1"/>
    <col min="4" max="4" width="10.42578125" style="139" customWidth="1"/>
    <col min="5" max="5" width="12" style="139" customWidth="1"/>
    <col min="6" max="6" width="9.42578125" style="139" customWidth="1"/>
    <col min="7" max="7" width="9" style="139" customWidth="1"/>
    <col min="8" max="8" width="13.140625" style="139" customWidth="1"/>
    <col min="9" max="9" width="12.7109375" style="139" customWidth="1"/>
    <col min="10" max="12" width="10.85546875" style="139"/>
    <col min="13" max="13" width="15" style="139" bestFit="1" customWidth="1"/>
    <col min="14" max="16384" width="10.85546875" style="139"/>
  </cols>
  <sheetData>
    <row r="1" spans="1:14" s="362" customFormat="1" ht="12.75"/>
    <row r="2" spans="1:14" s="362" customFormat="1" ht="12.75"/>
    <row r="3" spans="1:14" s="362" customFormat="1" ht="12.75"/>
    <row r="4" spans="1:14" s="362" customFormat="1" ht="12.75"/>
    <row r="5" spans="1:14" s="362" customFormat="1" ht="12.75"/>
    <row r="6" spans="1:14" s="362" customFormat="1" ht="12.75"/>
    <row r="7" spans="1:14" s="362" customFormat="1" ht="12.75"/>
    <row r="8" spans="1:14" s="362" customFormat="1" ht="12.75"/>
    <row r="9" spans="1:14" s="362" customFormat="1" ht="12.75"/>
    <row r="11" spans="1:14" ht="36">
      <c r="A11" s="294"/>
      <c r="B11" s="295" t="s">
        <v>73</v>
      </c>
      <c r="C11" s="296" t="s">
        <v>84</v>
      </c>
      <c r="D11" s="297" t="s">
        <v>251</v>
      </c>
      <c r="E11" s="297" t="s">
        <v>35</v>
      </c>
      <c r="F11" s="298" t="s">
        <v>61</v>
      </c>
      <c r="G11" s="299" t="s">
        <v>62</v>
      </c>
      <c r="H11" s="300" t="s">
        <v>63</v>
      </c>
      <c r="I11" s="300" t="s">
        <v>64</v>
      </c>
      <c r="J11" s="299" t="s">
        <v>36</v>
      </c>
      <c r="K11" s="299" t="s">
        <v>37</v>
      </c>
      <c r="L11" s="301" t="s">
        <v>65</v>
      </c>
      <c r="M11" s="302" t="s">
        <v>66</v>
      </c>
      <c r="N11" s="302" t="s">
        <v>211</v>
      </c>
    </row>
    <row r="12" spans="1:14">
      <c r="A12" s="303" t="s">
        <v>163</v>
      </c>
      <c r="B12" s="192"/>
      <c r="C12" s="192"/>
      <c r="D12" s="323"/>
      <c r="E12" s="323"/>
      <c r="F12" s="192"/>
      <c r="G12" s="192"/>
      <c r="H12" s="323"/>
      <c r="I12" s="323"/>
      <c r="J12" s="325"/>
      <c r="K12" s="325"/>
      <c r="L12" s="192"/>
      <c r="M12" s="323"/>
      <c r="N12" s="325"/>
    </row>
    <row r="13" spans="1:14">
      <c r="A13" s="326" t="s">
        <v>164</v>
      </c>
      <c r="B13" s="192">
        <f>Monthly_Imports!H46</f>
        <v>15217</v>
      </c>
      <c r="C13" s="192">
        <f>Monthly_Imports!H47</f>
        <v>35428</v>
      </c>
      <c r="D13" s="323">
        <f>'[2]P2701381.csv'!$E$6*0.8</f>
        <v>2071015.2879999999</v>
      </c>
      <c r="E13" s="323">
        <v>14008804.5</v>
      </c>
      <c r="J13" s="325">
        <f t="shared" ref="J13:K18" si="0">D13/B13</f>
        <v>136.09879003745812</v>
      </c>
      <c r="K13" s="325">
        <f t="shared" si="0"/>
        <v>395.41618211584057</v>
      </c>
      <c r="L13" s="192">
        <f>B13+C13</f>
        <v>50645</v>
      </c>
      <c r="M13" s="323">
        <f>D13+E13</f>
        <v>16079819.788000001</v>
      </c>
      <c r="N13" s="325">
        <f t="shared" ref="N13:N20" si="1">(D13+E13)/(B13+C13)</f>
        <v>317.50063753578837</v>
      </c>
    </row>
    <row r="14" spans="1:14">
      <c r="A14" s="139" t="s">
        <v>165</v>
      </c>
      <c r="B14" s="192">
        <f>Monthly_Imports!I46</f>
        <v>26289</v>
      </c>
      <c r="C14" s="192">
        <f>Monthly_Imports!I47</f>
        <v>50400</v>
      </c>
      <c r="D14" s="323">
        <v>2020781</v>
      </c>
      <c r="E14" s="323">
        <v>14087091.800000001</v>
      </c>
      <c r="J14" s="325">
        <f t="shared" si="0"/>
        <v>76.867929552284224</v>
      </c>
      <c r="K14" s="325">
        <f t="shared" si="0"/>
        <v>279.50578968253967</v>
      </c>
      <c r="L14" s="192">
        <f t="shared" ref="L14:L20" si="2">B14+C14</f>
        <v>76689</v>
      </c>
      <c r="M14" s="323">
        <f t="shared" ref="M14:M20" si="3">D14+E14</f>
        <v>16107872.800000001</v>
      </c>
      <c r="N14" s="325">
        <f t="shared" si="1"/>
        <v>210.04150269269388</v>
      </c>
    </row>
    <row r="15" spans="1:14">
      <c r="A15" s="326" t="s">
        <v>166</v>
      </c>
      <c r="B15" s="192">
        <f>Monthly_Imports!J46</f>
        <v>18034</v>
      </c>
      <c r="C15" s="192">
        <f>Monthly_Imports!J47</f>
        <v>26835</v>
      </c>
      <c r="D15" s="323">
        <v>1405456.21</v>
      </c>
      <c r="E15" s="323">
        <v>9604231.4700000007</v>
      </c>
      <c r="F15" s="327">
        <f>SUM(B13:B15)</f>
        <v>59540</v>
      </c>
      <c r="G15" s="327">
        <f>SUM(C13:C15)</f>
        <v>112663</v>
      </c>
      <c r="H15" s="323">
        <f>SUM(D13:D15)</f>
        <v>5497252.4979999997</v>
      </c>
      <c r="I15" s="323">
        <f>SUM(E13:E15)</f>
        <v>37700127.770000003</v>
      </c>
      <c r="J15" s="325">
        <f t="shared" si="0"/>
        <v>77.933692469779302</v>
      </c>
      <c r="K15" s="325">
        <f t="shared" si="0"/>
        <v>357.89943991056458</v>
      </c>
      <c r="L15" s="192">
        <f t="shared" si="2"/>
        <v>44869</v>
      </c>
      <c r="M15" s="323">
        <f t="shared" si="3"/>
        <v>11009687.68</v>
      </c>
      <c r="N15" s="325">
        <f t="shared" si="1"/>
        <v>245.3740373086095</v>
      </c>
    </row>
    <row r="16" spans="1:14">
      <c r="A16" s="139" t="s">
        <v>167</v>
      </c>
      <c r="B16" s="192">
        <f>Monthly_Imports!K46</f>
        <v>13678</v>
      </c>
      <c r="C16" s="192">
        <f>Monthly_Imports!K47</f>
        <v>22555</v>
      </c>
      <c r="D16" s="323">
        <f>'[3]R4301381.csv'!$E$6*0.8</f>
        <v>905803.94400000002</v>
      </c>
      <c r="E16" s="323">
        <f>'[3]R4301381.csv'!$E$7</f>
        <v>6153585.0599999996</v>
      </c>
      <c r="F16" s="327"/>
      <c r="G16" s="327"/>
      <c r="J16" s="325">
        <f t="shared" si="0"/>
        <v>66.223420383096951</v>
      </c>
      <c r="K16" s="325">
        <f t="shared" si="0"/>
        <v>272.82576191531808</v>
      </c>
      <c r="L16" s="192">
        <f t="shared" si="2"/>
        <v>36233</v>
      </c>
      <c r="M16" s="323">
        <f t="shared" si="3"/>
        <v>7059389.0039999997</v>
      </c>
      <c r="N16" s="325">
        <f t="shared" si="1"/>
        <v>194.83313564982197</v>
      </c>
    </row>
    <row r="17" spans="1:14">
      <c r="A17" s="139" t="s">
        <v>168</v>
      </c>
      <c r="B17" s="192">
        <f>Monthly_Imports!L46</f>
        <v>23489</v>
      </c>
      <c r="C17" s="192">
        <f>Monthly_Imports!L47</f>
        <v>52797</v>
      </c>
      <c r="D17" s="323">
        <f>'[3]R4301381.csv'!$E$19*0.8</f>
        <v>1856030.2079999999</v>
      </c>
      <c r="E17" s="323">
        <f>'[3]R4301381.csv'!$E$20</f>
        <v>10680652.359999999</v>
      </c>
      <c r="F17" s="327"/>
      <c r="G17" s="327"/>
      <c r="J17" s="325">
        <f t="shared" si="0"/>
        <v>79.016995529822466</v>
      </c>
      <c r="K17" s="325">
        <f t="shared" si="0"/>
        <v>202.29657669943367</v>
      </c>
      <c r="L17" s="192">
        <f t="shared" si="2"/>
        <v>76286</v>
      </c>
      <c r="M17" s="323">
        <f t="shared" si="3"/>
        <v>12536682.568</v>
      </c>
      <c r="N17" s="325">
        <f t="shared" si="1"/>
        <v>164.33792003775267</v>
      </c>
    </row>
    <row r="18" spans="1:14">
      <c r="A18" s="139" t="s">
        <v>169</v>
      </c>
      <c r="B18" s="192">
        <f>Monthly_Imports!M46</f>
        <v>28420.7</v>
      </c>
      <c r="C18" s="192">
        <f>Monthly_Imports!M47</f>
        <v>46104</v>
      </c>
      <c r="D18" s="323">
        <v>2189745</v>
      </c>
      <c r="E18" s="323">
        <f>'[3]R4301381.csv'!$E$33</f>
        <v>13896108.34</v>
      </c>
      <c r="F18" s="327">
        <f>SUM(B16:B18)</f>
        <v>65587.7</v>
      </c>
      <c r="G18" s="327">
        <f>SUM(C16:C18)</f>
        <v>121456</v>
      </c>
      <c r="H18" s="323">
        <f>SUM(D16:D18)</f>
        <v>4951579.1519999998</v>
      </c>
      <c r="I18" s="323">
        <f>SUM(E16:E18)</f>
        <v>30730345.759999998</v>
      </c>
      <c r="J18" s="325">
        <f t="shared" si="0"/>
        <v>77.047539293543082</v>
      </c>
      <c r="K18" s="325">
        <f t="shared" si="0"/>
        <v>301.40786786395972</v>
      </c>
      <c r="L18" s="192">
        <f t="shared" si="2"/>
        <v>74524.7</v>
      </c>
      <c r="M18" s="323">
        <f t="shared" si="3"/>
        <v>16085853.34</v>
      </c>
      <c r="N18" s="325">
        <f t="shared" si="1"/>
        <v>215.84593215403751</v>
      </c>
    </row>
    <row r="19" spans="1:14">
      <c r="A19" s="139" t="s">
        <v>170</v>
      </c>
      <c r="B19" s="192">
        <f>Monthly_Imports!B52</f>
        <v>22307</v>
      </c>
      <c r="C19" s="192">
        <f>Monthly_Imports!B53</f>
        <v>57028</v>
      </c>
      <c r="D19" s="323">
        <v>2279290</v>
      </c>
      <c r="E19" s="323">
        <f>'[4]T0801381.csv'!$E$20</f>
        <v>17795890.84</v>
      </c>
      <c r="F19" s="327"/>
      <c r="G19" s="327"/>
      <c r="H19" s="323"/>
      <c r="I19" s="323"/>
      <c r="J19" s="325">
        <f t="shared" ref="J19:K21" si="4">D19/B19</f>
        <v>102.17824001434528</v>
      </c>
      <c r="K19" s="325">
        <f t="shared" si="4"/>
        <v>312.05532089499894</v>
      </c>
      <c r="L19" s="192">
        <f t="shared" si="2"/>
        <v>79335</v>
      </c>
      <c r="M19" s="323">
        <f t="shared" si="3"/>
        <v>20075180.84</v>
      </c>
      <c r="N19" s="325">
        <f t="shared" si="1"/>
        <v>253.04318194995903</v>
      </c>
    </row>
    <row r="20" spans="1:14">
      <c r="A20" s="139" t="s">
        <v>171</v>
      </c>
      <c r="B20" s="192">
        <f>Monthly_Imports!C52</f>
        <v>40594</v>
      </c>
      <c r="C20" s="192">
        <f>Monthly_Imports!C53</f>
        <v>101027</v>
      </c>
      <c r="D20" s="323">
        <v>4471587</v>
      </c>
      <c r="E20" s="323">
        <f>'[4]T0801381.csv'!$E$33</f>
        <v>25610520.620000001</v>
      </c>
      <c r="F20" s="327"/>
      <c r="G20" s="327"/>
      <c r="H20" s="323"/>
      <c r="I20" s="323"/>
      <c r="J20" s="325">
        <f t="shared" si="4"/>
        <v>110.15388973739961</v>
      </c>
      <c r="K20" s="325">
        <f t="shared" si="4"/>
        <v>253.50174329634652</v>
      </c>
      <c r="L20" s="192">
        <f t="shared" si="2"/>
        <v>141621</v>
      </c>
      <c r="M20" s="323">
        <f t="shared" si="3"/>
        <v>30082107.620000001</v>
      </c>
      <c r="N20" s="325">
        <f t="shared" si="1"/>
        <v>212.41276096059201</v>
      </c>
    </row>
    <row r="21" spans="1:14">
      <c r="A21" s="139" t="s">
        <v>172</v>
      </c>
      <c r="B21" s="192">
        <f>Monthly_Imports!$D$52</f>
        <v>38857</v>
      </c>
      <c r="C21" s="192">
        <f>Monthly_Imports!$D$53</f>
        <v>87977</v>
      </c>
      <c r="D21" s="323">
        <v>3975211.2</v>
      </c>
      <c r="E21" s="323">
        <f>25031210.2</f>
        <v>25031210.199999999</v>
      </c>
      <c r="F21" s="327">
        <f>SUM(B19:B21)</f>
        <v>101758</v>
      </c>
      <c r="G21" s="327">
        <f>SUM(C19:C21)</f>
        <v>246032</v>
      </c>
      <c r="H21" s="323">
        <f>SUM(D19:D21)</f>
        <v>10726088.199999999</v>
      </c>
      <c r="I21" s="323">
        <f>SUM(E19:E21)</f>
        <v>68437621.659999996</v>
      </c>
      <c r="J21" s="325">
        <f t="shared" si="4"/>
        <v>102.30360552796151</v>
      </c>
      <c r="K21" s="325">
        <f t="shared" si="4"/>
        <v>284.51993361901407</v>
      </c>
      <c r="L21" s="192">
        <f>B21+C21</f>
        <v>126834</v>
      </c>
      <c r="M21" s="323">
        <f>D21+E21</f>
        <v>29006421.399999999</v>
      </c>
      <c r="N21" s="325">
        <f>(D21+E21)/(B21+C21)</f>
        <v>228.69594430515477</v>
      </c>
    </row>
    <row r="22" spans="1:14">
      <c r="A22" s="139" t="s">
        <v>173</v>
      </c>
      <c r="B22" s="192">
        <f>Monthly_Imports!E52</f>
        <v>66633</v>
      </c>
      <c r="C22" s="192">
        <f>Monthly_Imports!E53</f>
        <v>101176</v>
      </c>
      <c r="D22" s="323">
        <f>4800798</f>
        <v>4800798</v>
      </c>
      <c r="E22" s="323">
        <v>26296924</v>
      </c>
      <c r="F22" s="327"/>
      <c r="G22" s="327"/>
      <c r="H22" s="323"/>
      <c r="I22" s="323"/>
      <c r="J22" s="325">
        <f t="shared" ref="J22:K24" si="5">D22/B22</f>
        <v>72.048354418981589</v>
      </c>
      <c r="K22" s="325">
        <f t="shared" si="5"/>
        <v>259.9126670356606</v>
      </c>
      <c r="L22" s="192">
        <f>B22+C22</f>
        <v>167809</v>
      </c>
      <c r="M22" s="323">
        <f>D22+E22</f>
        <v>31097722</v>
      </c>
      <c r="N22" s="325">
        <f>M22/L22</f>
        <v>185.31617493698192</v>
      </c>
    </row>
    <row r="23" spans="1:14">
      <c r="A23" s="139" t="s">
        <v>174</v>
      </c>
      <c r="B23" s="192">
        <f>Monthly_Imports!F52</f>
        <v>76127</v>
      </c>
      <c r="C23" s="192">
        <f>Monthly_Imports!F53</f>
        <v>115750</v>
      </c>
      <c r="D23" s="323">
        <v>5815969.54</v>
      </c>
      <c r="E23" s="323">
        <v>27474883.399999999</v>
      </c>
      <c r="F23" s="327"/>
      <c r="G23" s="327"/>
      <c r="H23" s="323"/>
      <c r="I23" s="323"/>
      <c r="J23" s="325">
        <f t="shared" si="5"/>
        <v>76.398249504118112</v>
      </c>
      <c r="K23" s="325">
        <f t="shared" si="5"/>
        <v>237.36400345572352</v>
      </c>
      <c r="L23" s="192">
        <f>B23+C23</f>
        <v>191877</v>
      </c>
      <c r="M23" s="323">
        <f>D23+E23</f>
        <v>33290852.939999998</v>
      </c>
      <c r="N23" s="325">
        <f>M23/L23</f>
        <v>173.50100814584343</v>
      </c>
    </row>
    <row r="24" spans="1:14">
      <c r="A24" s="139" t="s">
        <v>175</v>
      </c>
      <c r="B24" s="192">
        <f>Monthly_Imports!G52</f>
        <v>28380</v>
      </c>
      <c r="C24" s="192">
        <f>Monthly_Imports!G53</f>
        <v>67306</v>
      </c>
      <c r="D24" s="323">
        <v>3830605</v>
      </c>
      <c r="E24" s="323">
        <v>22259828</v>
      </c>
      <c r="F24" s="327">
        <f>SUM(B22:B24)</f>
        <v>171140</v>
      </c>
      <c r="G24" s="327">
        <f>SUM(C22:C24)</f>
        <v>284232</v>
      </c>
      <c r="H24" s="323">
        <f>SUM(D22:D24)</f>
        <v>14447372.539999999</v>
      </c>
      <c r="I24" s="323">
        <f>SUM(E22:E24)</f>
        <v>76031635.400000006</v>
      </c>
      <c r="J24" s="325">
        <f t="shared" si="5"/>
        <v>134.97551092318534</v>
      </c>
      <c r="K24" s="325">
        <f t="shared" si="5"/>
        <v>330.72575996196474</v>
      </c>
      <c r="L24" s="192">
        <f>B24+C24</f>
        <v>95686</v>
      </c>
      <c r="M24" s="323">
        <f>D24+E24</f>
        <v>26090433</v>
      </c>
      <c r="N24" s="325">
        <f>M24/L24</f>
        <v>272.66719269276592</v>
      </c>
    </row>
    <row r="25" spans="1:14">
      <c r="A25" s="139" t="s">
        <v>176</v>
      </c>
      <c r="B25" s="192"/>
      <c r="C25" s="192"/>
      <c r="D25" s="323"/>
      <c r="E25" s="323"/>
      <c r="F25" s="327"/>
      <c r="G25" s="327"/>
      <c r="H25" s="323"/>
      <c r="I25" s="323"/>
      <c r="J25" s="325"/>
      <c r="K25" s="325"/>
      <c r="L25" s="192"/>
      <c r="M25" s="323"/>
      <c r="N25" s="325"/>
    </row>
    <row r="26" spans="1:14">
      <c r="A26" s="139" t="s">
        <v>164</v>
      </c>
      <c r="B26" s="192">
        <f>Monthly_Imports!H52</f>
        <v>27710</v>
      </c>
      <c r="C26" s="192">
        <f>Monthly_Imports!H53</f>
        <v>57878</v>
      </c>
      <c r="D26" s="323">
        <v>2515143</v>
      </c>
      <c r="E26" s="323">
        <f>'[5]C9901381.csv'!$E$21</f>
        <v>18018989.199999999</v>
      </c>
      <c r="F26" s="327"/>
      <c r="G26" s="327"/>
      <c r="H26" s="323"/>
      <c r="I26" s="323"/>
      <c r="J26" s="325">
        <f t="shared" ref="J26:K30" si="6">D26/B26</f>
        <v>90.766618549260201</v>
      </c>
      <c r="K26" s="325">
        <f t="shared" si="6"/>
        <v>311.32708801271639</v>
      </c>
      <c r="L26" s="192">
        <f t="shared" ref="L26:L31" si="7">B26+C26</f>
        <v>85588</v>
      </c>
      <c r="M26" s="323">
        <f t="shared" ref="M26:M31" si="8">D26+E26</f>
        <v>20534132.199999999</v>
      </c>
      <c r="N26" s="325">
        <f t="shared" ref="N26:N31" si="9">M26/L26</f>
        <v>239.91835537692199</v>
      </c>
    </row>
    <row r="27" spans="1:14">
      <c r="A27" s="139" t="s">
        <v>165</v>
      </c>
      <c r="B27" s="192">
        <f>Monthly_Imports!I52</f>
        <v>22140</v>
      </c>
      <c r="C27" s="192">
        <f>Monthly_Imports!I53</f>
        <v>48564</v>
      </c>
      <c r="D27" s="323">
        <f>'[5]C9901381.csv'!$E$34*0.8</f>
        <v>1950030.0640000002</v>
      </c>
      <c r="E27" s="323">
        <f>'[5]C9901381.csv'!$E$35</f>
        <v>12357988.09</v>
      </c>
      <c r="F27" s="327"/>
      <c r="G27" s="327"/>
      <c r="H27" s="323"/>
      <c r="I27" s="323"/>
      <c r="J27" s="325">
        <f t="shared" si="6"/>
        <v>88.077238663053308</v>
      </c>
      <c r="K27" s="325">
        <f t="shared" si="6"/>
        <v>254.46808520714933</v>
      </c>
      <c r="L27" s="192">
        <f t="shared" si="7"/>
        <v>70704</v>
      </c>
      <c r="M27" s="323">
        <f t="shared" si="8"/>
        <v>14308018.153999999</v>
      </c>
      <c r="N27" s="325">
        <f t="shared" si="9"/>
        <v>202.36504517424757</v>
      </c>
    </row>
    <row r="28" spans="1:14">
      <c r="A28" s="139" t="s">
        <v>217</v>
      </c>
      <c r="B28" s="192">
        <f>Monthly_Imports!J52</f>
        <v>17434.900000000001</v>
      </c>
      <c r="C28" s="192">
        <f>Monthly_Imports!J53</f>
        <v>38899</v>
      </c>
      <c r="D28" s="320">
        <f>[1]D4301381!$E$35*0.8</f>
        <v>1272721.0320000001</v>
      </c>
      <c r="E28" s="320">
        <f>[1]D4301381!$E$36</f>
        <v>10814871.109999999</v>
      </c>
      <c r="F28" s="327">
        <f>SUM(B26:B28)</f>
        <v>67284.899999999994</v>
      </c>
      <c r="G28" s="327">
        <f>SUM(C26:C28)</f>
        <v>145341</v>
      </c>
      <c r="H28" s="323">
        <f>SUM(D26:D28)</f>
        <v>5737894.0960000008</v>
      </c>
      <c r="I28" s="323">
        <f>SUM(E26:E28)</f>
        <v>41191848.399999999</v>
      </c>
      <c r="J28" s="325">
        <f t="shared" si="6"/>
        <v>72.998470424263971</v>
      </c>
      <c r="K28" s="325">
        <f t="shared" si="6"/>
        <v>278.02439934188538</v>
      </c>
      <c r="L28" s="192">
        <f t="shared" si="7"/>
        <v>56333.9</v>
      </c>
      <c r="M28" s="323">
        <f t="shared" si="8"/>
        <v>12087592.141999999</v>
      </c>
      <c r="N28" s="325">
        <f t="shared" si="9"/>
        <v>214.57048317265446</v>
      </c>
    </row>
    <row r="29" spans="1:14">
      <c r="A29" s="139" t="s">
        <v>280</v>
      </c>
      <c r="B29" s="192">
        <v>14911</v>
      </c>
      <c r="C29" s="192">
        <v>33315</v>
      </c>
      <c r="D29" s="323">
        <v>1093536</v>
      </c>
      <c r="E29" s="323">
        <v>8532633</v>
      </c>
      <c r="F29" s="327"/>
      <c r="G29" s="327"/>
      <c r="H29" s="323"/>
      <c r="I29" s="323"/>
      <c r="J29" s="325">
        <f t="shared" si="6"/>
        <v>73.337536047213462</v>
      </c>
      <c r="K29" s="325">
        <f t="shared" si="6"/>
        <v>256.11985592075644</v>
      </c>
      <c r="L29" s="192">
        <f t="shared" si="7"/>
        <v>48226</v>
      </c>
      <c r="M29" s="323">
        <f t="shared" si="8"/>
        <v>9626169</v>
      </c>
      <c r="N29" s="325">
        <f t="shared" si="9"/>
        <v>199.60537884128894</v>
      </c>
    </row>
    <row r="30" spans="1:14">
      <c r="A30" s="139" t="s">
        <v>180</v>
      </c>
      <c r="B30" s="192">
        <v>16940</v>
      </c>
      <c r="C30" s="192">
        <v>54516</v>
      </c>
      <c r="D30" s="323">
        <v>1505628</v>
      </c>
      <c r="E30" s="323">
        <v>13136825</v>
      </c>
      <c r="F30" s="327"/>
      <c r="G30" s="327"/>
      <c r="H30" s="323"/>
      <c r="I30" s="323"/>
      <c r="J30" s="325">
        <f t="shared" si="6"/>
        <v>88.88004722550177</v>
      </c>
      <c r="K30" s="325">
        <f t="shared" si="6"/>
        <v>240.97191650157751</v>
      </c>
      <c r="L30" s="192">
        <f t="shared" si="7"/>
        <v>71456</v>
      </c>
      <c r="M30" s="323">
        <f t="shared" si="8"/>
        <v>14642453</v>
      </c>
      <c r="N30" s="325">
        <f t="shared" si="9"/>
        <v>204.91565438871473</v>
      </c>
    </row>
    <row r="31" spans="1:14">
      <c r="A31" s="192" t="s">
        <v>158</v>
      </c>
      <c r="B31" s="192">
        <f>Monthly_Imports!M52</f>
        <v>10640</v>
      </c>
      <c r="C31" s="192">
        <f>Monthly_Imports!M53</f>
        <v>31674</v>
      </c>
      <c r="D31" s="323">
        <f>'[6]F6401381.csv'!$E$35*0.8</f>
        <v>1336296.0720000002</v>
      </c>
      <c r="E31" s="323">
        <f>'[6]F6401381.csv'!$E$36</f>
        <v>12109915.84</v>
      </c>
      <c r="F31" s="327">
        <f>SUM(B29:B31)</f>
        <v>42491</v>
      </c>
      <c r="G31" s="327">
        <f>SUM(C29:C31)</f>
        <v>119505</v>
      </c>
      <c r="H31" s="323">
        <f>SUM(D29:D31)</f>
        <v>3935460.0720000002</v>
      </c>
      <c r="I31" s="323">
        <f>SUM(E29:E31)</f>
        <v>33779373.840000004</v>
      </c>
      <c r="J31" s="325">
        <f t="shared" ref="J31:K37" si="10">D31/B31</f>
        <v>125.59173609022558</v>
      </c>
      <c r="K31" s="325">
        <f t="shared" si="10"/>
        <v>382.32985540190691</v>
      </c>
      <c r="L31" s="192">
        <f t="shared" si="7"/>
        <v>42314</v>
      </c>
      <c r="M31" s="323">
        <f t="shared" si="8"/>
        <v>13446211.912</v>
      </c>
      <c r="N31" s="325">
        <f t="shared" si="9"/>
        <v>317.77217734083285</v>
      </c>
    </row>
    <row r="32" spans="1:14">
      <c r="A32" s="139" t="s">
        <v>159</v>
      </c>
      <c r="B32" s="192">
        <f>Monthly_Imports!B58</f>
        <v>26894</v>
      </c>
      <c r="C32" s="192">
        <f>Monthly_Imports!B59</f>
        <v>58322</v>
      </c>
      <c r="D32" s="323">
        <v>2165958</v>
      </c>
      <c r="E32" s="323">
        <f>17975072.7</f>
        <v>17975072.699999999</v>
      </c>
      <c r="F32" s="327"/>
      <c r="G32" s="327"/>
      <c r="H32" s="323"/>
      <c r="I32" s="323"/>
      <c r="J32" s="325">
        <f t="shared" si="10"/>
        <v>80.536848367665655</v>
      </c>
      <c r="K32" s="325">
        <f t="shared" si="10"/>
        <v>308.20398305956587</v>
      </c>
      <c r="L32" s="192">
        <f t="shared" ref="L32:L37" si="11">B32+C32</f>
        <v>85216</v>
      </c>
      <c r="M32" s="323">
        <f t="shared" ref="M32:M37" si="12">D32+E32</f>
        <v>20141030.699999999</v>
      </c>
      <c r="N32" s="325">
        <f t="shared" ref="N32:N37" si="13">M32/L32</f>
        <v>236.3526884622606</v>
      </c>
    </row>
    <row r="33" spans="1:15">
      <c r="A33" s="139" t="s">
        <v>160</v>
      </c>
      <c r="B33" s="192">
        <f>Monthly_Imports!C58</f>
        <v>53065</v>
      </c>
      <c r="C33" s="192">
        <f>Monthly_Imports!C59</f>
        <v>70356</v>
      </c>
      <c r="D33" s="323">
        <f>5003566</f>
        <v>5003566</v>
      </c>
      <c r="E33" s="323">
        <v>17425757</v>
      </c>
      <c r="F33" s="327"/>
      <c r="G33" s="327"/>
      <c r="H33" s="323"/>
      <c r="I33" s="323"/>
      <c r="J33" s="325">
        <f t="shared" si="10"/>
        <v>94.291265429190616</v>
      </c>
      <c r="K33" s="325">
        <f t="shared" si="10"/>
        <v>247.67975723463528</v>
      </c>
      <c r="L33" s="192">
        <f t="shared" si="11"/>
        <v>123421</v>
      </c>
      <c r="M33" s="323">
        <f t="shared" si="12"/>
        <v>22429323</v>
      </c>
      <c r="N33" s="325">
        <f t="shared" si="13"/>
        <v>181.73019988494664</v>
      </c>
    </row>
    <row r="34" spans="1:15">
      <c r="A34" s="139" t="s">
        <v>161</v>
      </c>
      <c r="B34" s="192">
        <f>Monthly_Imports!D58</f>
        <v>49961</v>
      </c>
      <c r="C34" s="192">
        <f>Monthly_Imports!D59</f>
        <v>92585</v>
      </c>
      <c r="D34" s="323">
        <v>3949778</v>
      </c>
      <c r="E34" s="323">
        <v>21773615</v>
      </c>
      <c r="F34" s="327">
        <f>SUM(B32:B34)</f>
        <v>129920</v>
      </c>
      <c r="G34" s="327">
        <f>SUM(C32:C34)</f>
        <v>221263</v>
      </c>
      <c r="H34" s="323">
        <f>SUM(D32:D34)</f>
        <v>11119302</v>
      </c>
      <c r="I34" s="323">
        <f>SUM(E32:E34)</f>
        <v>57174444.700000003</v>
      </c>
      <c r="J34" s="325">
        <f t="shared" si="10"/>
        <v>79.057224635215462</v>
      </c>
      <c r="K34" s="325">
        <f t="shared" si="10"/>
        <v>235.17432629475616</v>
      </c>
      <c r="L34" s="192">
        <f t="shared" si="11"/>
        <v>142546</v>
      </c>
      <c r="M34" s="323">
        <f t="shared" si="12"/>
        <v>25723393</v>
      </c>
      <c r="N34" s="325">
        <f t="shared" si="13"/>
        <v>180.45678587964588</v>
      </c>
    </row>
    <row r="35" spans="1:15">
      <c r="A35" s="139" t="s">
        <v>162</v>
      </c>
      <c r="B35" s="192">
        <f>Monthly_Imports!E58</f>
        <v>74199</v>
      </c>
      <c r="C35" s="192">
        <f>Monthly_Imports!E59</f>
        <v>120282</v>
      </c>
      <c r="D35" s="323">
        <v>5347998</v>
      </c>
      <c r="E35" s="323">
        <v>25113195</v>
      </c>
      <c r="F35" s="327"/>
      <c r="G35" s="327"/>
      <c r="H35" s="323"/>
      <c r="I35" s="323"/>
      <c r="J35" s="325">
        <f t="shared" si="10"/>
        <v>72.076416124206531</v>
      </c>
      <c r="K35" s="325">
        <f t="shared" si="10"/>
        <v>208.78597795181324</v>
      </c>
      <c r="L35" s="192">
        <f t="shared" si="11"/>
        <v>194481</v>
      </c>
      <c r="M35" s="323">
        <f t="shared" si="12"/>
        <v>30461193</v>
      </c>
      <c r="N35" s="325">
        <f t="shared" si="13"/>
        <v>156.6281179138322</v>
      </c>
    </row>
    <row r="36" spans="1:15">
      <c r="A36" s="139" t="s">
        <v>78</v>
      </c>
      <c r="B36" s="192">
        <f>Monthly_Imports!F58</f>
        <v>81649</v>
      </c>
      <c r="C36" s="192">
        <f>Monthly_Imports!F59</f>
        <v>123636</v>
      </c>
      <c r="D36" s="323">
        <v>6064116</v>
      </c>
      <c r="E36" s="323">
        <v>30341934</v>
      </c>
      <c r="F36" s="327"/>
      <c r="G36" s="327"/>
      <c r="H36" s="323"/>
      <c r="I36" s="323"/>
      <c r="J36" s="325">
        <f t="shared" si="10"/>
        <v>74.270548322698374</v>
      </c>
      <c r="K36" s="325">
        <f t="shared" si="10"/>
        <v>245.41342327477435</v>
      </c>
      <c r="L36" s="192">
        <f t="shared" si="11"/>
        <v>205285</v>
      </c>
      <c r="M36" s="323">
        <f t="shared" si="12"/>
        <v>36406050</v>
      </c>
      <c r="N36" s="325">
        <f t="shared" si="13"/>
        <v>177.34393647855421</v>
      </c>
    </row>
    <row r="37" spans="1:15">
      <c r="A37" s="139" t="s">
        <v>22</v>
      </c>
      <c r="B37" s="192">
        <f>Monthly_Imports!$G$58</f>
        <v>25959</v>
      </c>
      <c r="C37" s="192">
        <f>Monthly_Imports!$G$59</f>
        <v>75667</v>
      </c>
      <c r="D37" s="323">
        <v>2675138</v>
      </c>
      <c r="E37" s="323">
        <v>24630728</v>
      </c>
      <c r="F37" s="327">
        <f>SUM(B35:B37)</f>
        <v>181807</v>
      </c>
      <c r="G37" s="327">
        <f>SUM(C35:C37)</f>
        <v>319585</v>
      </c>
      <c r="H37" s="328">
        <f>SUM(D35:D37)</f>
        <v>14087252</v>
      </c>
      <c r="I37" s="328">
        <f>SUM(E35:E37)</f>
        <v>80085857</v>
      </c>
      <c r="J37" s="325">
        <f t="shared" si="10"/>
        <v>103.0524288300782</v>
      </c>
      <c r="K37" s="325">
        <f t="shared" si="10"/>
        <v>325.51479508900843</v>
      </c>
      <c r="L37" s="192">
        <f t="shared" si="11"/>
        <v>101626</v>
      </c>
      <c r="M37" s="323">
        <f t="shared" si="12"/>
        <v>27305866</v>
      </c>
      <c r="N37" s="325">
        <f t="shared" si="13"/>
        <v>268.68976443036229</v>
      </c>
    </row>
    <row r="38" spans="1:15">
      <c r="A38" s="139" t="s">
        <v>308</v>
      </c>
      <c r="F38" s="327"/>
      <c r="G38" s="327"/>
      <c r="H38" s="328"/>
      <c r="I38" s="328"/>
      <c r="O38" s="325"/>
    </row>
    <row r="39" spans="1:15">
      <c r="A39" s="139" t="s">
        <v>264</v>
      </c>
      <c r="B39" s="192">
        <f>Monthly_Imports!H58</f>
        <v>35629</v>
      </c>
      <c r="C39" s="192">
        <f>Monthly_Imports!H59</f>
        <v>61811</v>
      </c>
      <c r="D39" s="323">
        <v>2604375</v>
      </c>
      <c r="E39" s="323">
        <v>15494741</v>
      </c>
      <c r="F39" s="327"/>
      <c r="G39" s="327"/>
      <c r="H39" s="328"/>
      <c r="I39" s="328"/>
      <c r="J39" s="325">
        <f t="shared" ref="J39:K41" si="14">D39/B39</f>
        <v>73.097055769176791</v>
      </c>
      <c r="K39" s="325">
        <f t="shared" si="14"/>
        <v>250.67934510038666</v>
      </c>
      <c r="L39" s="192">
        <f t="shared" ref="L39:L45" si="15">B39+C39</f>
        <v>97440</v>
      </c>
      <c r="M39" s="323">
        <f t="shared" ref="M39:M45" si="16">D39+E39</f>
        <v>18099116</v>
      </c>
      <c r="N39" s="325">
        <f t="shared" ref="N39:N45" si="17">M39/L39</f>
        <v>185.74626436781608</v>
      </c>
    </row>
    <row r="40" spans="1:15">
      <c r="A40" s="139" t="s">
        <v>265</v>
      </c>
      <c r="B40" s="192">
        <f>Monthly_Imports!I58</f>
        <v>13978</v>
      </c>
      <c r="C40" s="192">
        <f>Monthly_Imports!I59</f>
        <v>48301</v>
      </c>
      <c r="D40" s="320">
        <f>1314100</f>
        <v>1314100</v>
      </c>
      <c r="E40" s="320">
        <f>15024103</f>
        <v>15024103</v>
      </c>
      <c r="F40" s="327"/>
      <c r="G40" s="327"/>
      <c r="H40" s="328"/>
      <c r="I40" s="328"/>
      <c r="J40" s="325">
        <f t="shared" si="14"/>
        <v>94.012018886822148</v>
      </c>
      <c r="K40" s="325">
        <f t="shared" si="14"/>
        <v>311.05159313471773</v>
      </c>
      <c r="L40" s="192">
        <f t="shared" si="15"/>
        <v>62279</v>
      </c>
      <c r="M40" s="323">
        <f t="shared" si="16"/>
        <v>16338203</v>
      </c>
      <c r="N40" s="325">
        <f t="shared" si="17"/>
        <v>262.33887827357535</v>
      </c>
    </row>
    <row r="41" spans="1:15">
      <c r="A41" s="139" t="s">
        <v>217</v>
      </c>
      <c r="B41" s="192">
        <v>18144</v>
      </c>
      <c r="C41" s="192">
        <v>55040</v>
      </c>
      <c r="D41" s="320">
        <v>1462468</v>
      </c>
      <c r="E41" s="320">
        <v>15154375</v>
      </c>
      <c r="F41" s="327">
        <f>SUM(B39:B41)</f>
        <v>67751</v>
      </c>
      <c r="G41" s="327">
        <f>SUM(C39:C41)</f>
        <v>165152</v>
      </c>
      <c r="H41" s="328">
        <f>SUM(D39:D41)</f>
        <v>5380943</v>
      </c>
      <c r="I41" s="328">
        <f>SUM(E39:E41)</f>
        <v>45673219</v>
      </c>
      <c r="J41" s="325">
        <f t="shared" si="14"/>
        <v>80.603395061728392</v>
      </c>
      <c r="K41" s="325">
        <f t="shared" si="14"/>
        <v>275.33384811046511</v>
      </c>
      <c r="L41" s="192">
        <f t="shared" si="15"/>
        <v>73184</v>
      </c>
      <c r="M41" s="323">
        <f t="shared" si="16"/>
        <v>16616843</v>
      </c>
      <c r="N41" s="325">
        <f t="shared" si="17"/>
        <v>227.05568156974201</v>
      </c>
    </row>
    <row r="42" spans="1:15">
      <c r="A42" s="139" t="s">
        <v>280</v>
      </c>
      <c r="B42" s="192">
        <f>Monthly_Imports!K58</f>
        <v>15302</v>
      </c>
      <c r="C42" s="192">
        <f>Monthly_Imports!K59</f>
        <v>32073</v>
      </c>
      <c r="D42" s="320">
        <v>1168450.3999999999</v>
      </c>
      <c r="E42" s="320">
        <v>12032767</v>
      </c>
      <c r="F42" s="327"/>
      <c r="G42" s="327"/>
      <c r="H42" s="328"/>
      <c r="I42" s="328"/>
      <c r="J42" s="325">
        <f>D42/B42</f>
        <v>76.359325578355765</v>
      </c>
      <c r="K42" s="325">
        <f>E42/C42</f>
        <v>375.16811648427029</v>
      </c>
      <c r="L42" s="192">
        <f t="shared" si="15"/>
        <v>47375</v>
      </c>
      <c r="M42" s="323">
        <f t="shared" si="16"/>
        <v>13201217.4</v>
      </c>
      <c r="N42" s="325">
        <f t="shared" si="17"/>
        <v>278.65366543535623</v>
      </c>
    </row>
    <row r="43" spans="1:15">
      <c r="A43" s="139" t="s">
        <v>180</v>
      </c>
      <c r="B43" s="192">
        <v>25182</v>
      </c>
      <c r="C43" s="192">
        <v>47077</v>
      </c>
      <c r="D43" s="320">
        <v>1915656</v>
      </c>
      <c r="E43" s="320">
        <v>13645670</v>
      </c>
      <c r="F43" s="327"/>
      <c r="G43" s="327"/>
      <c r="H43" s="328"/>
      <c r="I43" s="328"/>
      <c r="J43" s="325">
        <f>D43/B43</f>
        <v>76.072432690016683</v>
      </c>
      <c r="K43" s="325">
        <f>E43/C43</f>
        <v>289.85852964292542</v>
      </c>
      <c r="L43" s="192">
        <f t="shared" si="15"/>
        <v>72259</v>
      </c>
      <c r="M43" s="323">
        <f t="shared" si="16"/>
        <v>15561326</v>
      </c>
      <c r="N43" s="325">
        <f t="shared" si="17"/>
        <v>215.35484853097884</v>
      </c>
    </row>
    <row r="44" spans="1:15">
      <c r="A44" s="139" t="s">
        <v>20</v>
      </c>
      <c r="B44" s="192">
        <f>Monthly_Imports!M58</f>
        <v>21386</v>
      </c>
      <c r="C44" s="192">
        <f>Monthly_Imports!M59</f>
        <v>52216</v>
      </c>
      <c r="D44" s="320">
        <v>2009252</v>
      </c>
      <c r="E44" s="320">
        <v>15851428</v>
      </c>
      <c r="F44" s="327">
        <f>SUM(B42:B44)</f>
        <v>61870</v>
      </c>
      <c r="G44" s="327">
        <f>SUM(C42:C44)</f>
        <v>131366</v>
      </c>
      <c r="H44" s="328">
        <f>SUM(D42:D44)</f>
        <v>5093358.4000000004</v>
      </c>
      <c r="I44" s="328">
        <f>SUM(E42:E44)</f>
        <v>41529865</v>
      </c>
      <c r="J44" s="325">
        <f t="shared" ref="J44:J49" si="18">D44/B44</f>
        <v>93.951744131674928</v>
      </c>
      <c r="K44" s="325">
        <f t="shared" ref="K44:K50" si="19">E44/C44</f>
        <v>303.57415351616362</v>
      </c>
      <c r="L44" s="192">
        <f t="shared" si="15"/>
        <v>73602</v>
      </c>
      <c r="M44" s="323">
        <f t="shared" si="16"/>
        <v>17860680</v>
      </c>
      <c r="N44" s="325">
        <f t="shared" si="17"/>
        <v>242.66568843237957</v>
      </c>
    </row>
    <row r="45" spans="1:15">
      <c r="A45" s="139" t="s">
        <v>309</v>
      </c>
      <c r="B45" s="192">
        <f>Monthly_Imports!B64</f>
        <v>27361</v>
      </c>
      <c r="C45" s="192">
        <f>Monthly_Imports!B65</f>
        <v>55742</v>
      </c>
      <c r="D45" s="320">
        <v>2905039</v>
      </c>
      <c r="E45" s="320">
        <v>16709325</v>
      </c>
      <c r="F45" s="327"/>
      <c r="G45" s="327"/>
      <c r="H45" s="328"/>
      <c r="I45" s="328"/>
      <c r="J45" s="325">
        <f t="shared" si="18"/>
        <v>106.17444537845839</v>
      </c>
      <c r="K45" s="325">
        <f t="shared" si="19"/>
        <v>299.76184923397079</v>
      </c>
      <c r="L45" s="192">
        <f t="shared" si="15"/>
        <v>83103</v>
      </c>
      <c r="M45" s="323">
        <f t="shared" si="16"/>
        <v>19614364</v>
      </c>
      <c r="N45" s="325">
        <f t="shared" si="17"/>
        <v>236.02474038241701</v>
      </c>
    </row>
    <row r="46" spans="1:15">
      <c r="A46" s="139" t="s">
        <v>9</v>
      </c>
      <c r="B46" s="192">
        <f>Monthly_Imports!C64</f>
        <v>44415</v>
      </c>
      <c r="C46" s="192">
        <f>Monthly_Imports!C65</f>
        <v>81454</v>
      </c>
      <c r="D46" s="320">
        <v>4816610</v>
      </c>
      <c r="E46" s="323">
        <f>25996926</f>
        <v>25996926</v>
      </c>
      <c r="F46" s="327"/>
      <c r="G46" s="327"/>
      <c r="H46" s="328"/>
      <c r="I46" s="328"/>
      <c r="J46" s="325">
        <f t="shared" si="18"/>
        <v>108.44557019025105</v>
      </c>
      <c r="K46" s="325">
        <f t="shared" si="19"/>
        <v>319.16082696982346</v>
      </c>
      <c r="L46" s="192">
        <f>B46+C46</f>
        <v>125869</v>
      </c>
      <c r="M46" s="323">
        <f>D46+E46</f>
        <v>30813536</v>
      </c>
      <c r="N46" s="325">
        <f>M46/L46</f>
        <v>244.8063939492647</v>
      </c>
    </row>
    <row r="47" spans="1:15">
      <c r="A47" s="139" t="s">
        <v>21</v>
      </c>
      <c r="B47" s="192">
        <f>Monthly_Imports!D64</f>
        <v>43289</v>
      </c>
      <c r="C47" s="192">
        <f>Monthly_Imports!D65</f>
        <v>90449</v>
      </c>
      <c r="D47" s="320">
        <v>4520274</v>
      </c>
      <c r="E47" s="323">
        <v>20236486</v>
      </c>
      <c r="F47" s="327">
        <f>SUM(B45:B47)</f>
        <v>115065</v>
      </c>
      <c r="G47" s="327">
        <f>SUM(C45:C47)</f>
        <v>227645</v>
      </c>
      <c r="H47" s="328">
        <f>SUM(D45:D47)</f>
        <v>12241923</v>
      </c>
      <c r="I47" s="328">
        <f>SUM(E45:E47)</f>
        <v>62942737</v>
      </c>
      <c r="J47" s="325">
        <f t="shared" si="18"/>
        <v>104.42084594238722</v>
      </c>
      <c r="K47" s="325">
        <f t="shared" si="19"/>
        <v>223.7336620637044</v>
      </c>
      <c r="L47" s="192">
        <f>B47+C47</f>
        <v>133738</v>
      </c>
      <c r="M47" s="323">
        <f>D47+E47</f>
        <v>24756760</v>
      </c>
      <c r="N47" s="325">
        <f>M47/L47</f>
        <v>185.11387937609356</v>
      </c>
      <c r="O47" s="325"/>
    </row>
    <row r="48" spans="1:15">
      <c r="A48" s="139" t="s">
        <v>10</v>
      </c>
      <c r="B48" s="192">
        <f>Monthly_Imports!E64</f>
        <v>77758</v>
      </c>
      <c r="C48" s="192">
        <f>Monthly_Imports!E65</f>
        <v>101162</v>
      </c>
      <c r="D48" s="320">
        <v>6758431</v>
      </c>
      <c r="E48" s="323">
        <v>22696145</v>
      </c>
      <c r="F48" s="327"/>
      <c r="G48" s="327"/>
      <c r="H48" s="328"/>
      <c r="I48" s="328"/>
      <c r="J48" s="325">
        <f t="shared" si="18"/>
        <v>86.916214408806809</v>
      </c>
      <c r="K48" s="325">
        <f t="shared" si="19"/>
        <v>224.35445127617089</v>
      </c>
      <c r="L48" s="192">
        <f>B48+C48</f>
        <v>178920</v>
      </c>
      <c r="M48" s="323">
        <f>D48+E48</f>
        <v>29454576</v>
      </c>
      <c r="N48" s="325">
        <f>M48/L48</f>
        <v>164.6242790073776</v>
      </c>
    </row>
    <row r="49" spans="1:15">
      <c r="A49" s="139" t="s">
        <v>11</v>
      </c>
      <c r="B49" s="192">
        <f>Monthly_Imports!F64</f>
        <v>57739</v>
      </c>
      <c r="C49" s="192">
        <f>Monthly_Imports!F65</f>
        <v>88792</v>
      </c>
      <c r="D49" s="320">
        <v>5255500</v>
      </c>
      <c r="E49" s="323">
        <v>26659026</v>
      </c>
      <c r="F49" s="327"/>
      <c r="G49" s="327"/>
      <c r="H49" s="328"/>
      <c r="I49" s="328"/>
      <c r="J49" s="325">
        <f t="shared" si="18"/>
        <v>91.021666464607975</v>
      </c>
      <c r="K49" s="325">
        <f t="shared" si="19"/>
        <v>300.24130552302012</v>
      </c>
      <c r="L49" s="192">
        <f>B49+C49</f>
        <v>146531</v>
      </c>
      <c r="M49" s="323">
        <f>D49+E49</f>
        <v>31914526</v>
      </c>
      <c r="N49" s="325">
        <f>M49/L49</f>
        <v>217.80050637749008</v>
      </c>
      <c r="O49" s="325"/>
    </row>
    <row r="50" spans="1:15">
      <c r="A50" s="139" t="s">
        <v>22</v>
      </c>
      <c r="B50" s="192">
        <v>26245</v>
      </c>
      <c r="C50" s="192">
        <v>56283</v>
      </c>
      <c r="D50" s="320">
        <v>2745722</v>
      </c>
      <c r="E50" s="323">
        <v>20276721</v>
      </c>
      <c r="F50" s="327">
        <f>SUM(B48:B50)</f>
        <v>161742</v>
      </c>
      <c r="G50" s="327">
        <f>SUM(C48:C50)</f>
        <v>246237</v>
      </c>
      <c r="H50" s="328">
        <f>SUM(D48:D50)</f>
        <v>14759653</v>
      </c>
      <c r="I50" s="328">
        <f>SUM(E48:E50)</f>
        <v>69631892</v>
      </c>
      <c r="J50" s="325">
        <f>D50/B50</f>
        <v>104.61886073537816</v>
      </c>
      <c r="K50" s="325">
        <f t="shared" si="19"/>
        <v>360.26368530462128</v>
      </c>
      <c r="L50" s="192">
        <f>B50+C50</f>
        <v>82528</v>
      </c>
      <c r="M50" s="323">
        <f>D50+E50</f>
        <v>23022443</v>
      </c>
      <c r="N50" s="325">
        <f>M50/L50</f>
        <v>278.96523604110121</v>
      </c>
    </row>
    <row r="51" spans="1:15">
      <c r="A51" s="139" t="s">
        <v>317</v>
      </c>
      <c r="B51" s="192"/>
      <c r="C51" s="192"/>
      <c r="F51" s="327"/>
      <c r="G51" s="327"/>
      <c r="H51" s="328"/>
      <c r="I51" s="328"/>
    </row>
    <row r="52" spans="1:15">
      <c r="A52" s="139" t="s">
        <v>264</v>
      </c>
      <c r="B52" s="192">
        <f>26490</f>
        <v>26490</v>
      </c>
      <c r="C52" s="192">
        <v>49815</v>
      </c>
      <c r="D52" s="320">
        <v>2816579</v>
      </c>
      <c r="E52" s="323">
        <v>17571872</v>
      </c>
      <c r="F52" s="327"/>
      <c r="G52" s="327"/>
      <c r="H52" s="328"/>
      <c r="I52" s="328"/>
      <c r="J52" s="325">
        <f t="shared" ref="J52:K54" si="20">D52/B52</f>
        <v>106.32612306530767</v>
      </c>
      <c r="K52" s="325">
        <f t="shared" si="20"/>
        <v>352.7425875740239</v>
      </c>
      <c r="L52" s="192">
        <f t="shared" ref="L52:L57" si="21">B52+C52</f>
        <v>76305</v>
      </c>
      <c r="M52" s="323">
        <f t="shared" ref="M52:M63" si="22">D52+E52</f>
        <v>20388451</v>
      </c>
      <c r="N52" s="325">
        <f t="shared" ref="N52:N63" si="23">M52/L52</f>
        <v>267.19678920123192</v>
      </c>
    </row>
    <row r="53" spans="1:15">
      <c r="A53" s="139" t="s">
        <v>265</v>
      </c>
      <c r="B53" s="192">
        <f>Monthly_Imports!B64</f>
        <v>27361</v>
      </c>
      <c r="C53" s="192">
        <f>Monthly_Imports!I65</f>
        <v>51232</v>
      </c>
      <c r="D53" s="320">
        <v>2486107</v>
      </c>
      <c r="E53" s="323">
        <v>13444428</v>
      </c>
      <c r="F53" s="327"/>
      <c r="G53" s="327"/>
      <c r="H53" s="328"/>
      <c r="I53" s="328"/>
      <c r="J53" s="325">
        <f t="shared" si="20"/>
        <v>90.863162896092973</v>
      </c>
      <c r="K53" s="325">
        <f t="shared" si="20"/>
        <v>262.42247033104309</v>
      </c>
      <c r="L53" s="192">
        <f t="shared" si="21"/>
        <v>78593</v>
      </c>
      <c r="M53" s="323">
        <f t="shared" si="22"/>
        <v>15930535</v>
      </c>
      <c r="N53" s="325">
        <f t="shared" si="23"/>
        <v>202.69661420228266</v>
      </c>
    </row>
    <row r="54" spans="1:15">
      <c r="A54" s="139" t="s">
        <v>217</v>
      </c>
      <c r="B54" s="192">
        <f>Monthly_Imports!J64</f>
        <v>15144</v>
      </c>
      <c r="C54" s="192">
        <f>Monthly_Imports!J65</f>
        <v>28735</v>
      </c>
      <c r="D54" s="320">
        <f>1202292</f>
        <v>1202292</v>
      </c>
      <c r="E54" s="323">
        <v>9618357</v>
      </c>
      <c r="F54" s="327">
        <f>SUM(B52:B54)</f>
        <v>68995</v>
      </c>
      <c r="G54" s="327">
        <f>SUM(C52:C54)</f>
        <v>129782</v>
      </c>
      <c r="H54" s="328">
        <f>SUM(D52:D54)</f>
        <v>6504978</v>
      </c>
      <c r="I54" s="328">
        <f>SUM(E52:E54)</f>
        <v>40634657</v>
      </c>
      <c r="J54" s="325">
        <f t="shared" si="20"/>
        <v>79.390649762282095</v>
      </c>
      <c r="K54" s="325">
        <f t="shared" si="20"/>
        <v>334.72618757612668</v>
      </c>
      <c r="L54" s="192">
        <f t="shared" si="21"/>
        <v>43879</v>
      </c>
      <c r="M54" s="323">
        <f t="shared" si="22"/>
        <v>10820649</v>
      </c>
      <c r="N54" s="325">
        <f t="shared" si="23"/>
        <v>246.60199639918866</v>
      </c>
    </row>
    <row r="55" spans="1:15">
      <c r="A55" s="139" t="s">
        <v>280</v>
      </c>
      <c r="B55" s="192">
        <f>Monthly_Imports!K64</f>
        <v>25891</v>
      </c>
      <c r="C55" s="192">
        <f>Monthly_Imports!K65</f>
        <v>33121</v>
      </c>
      <c r="D55" s="320">
        <v>2315624</v>
      </c>
      <c r="E55" s="323">
        <v>9956272</v>
      </c>
      <c r="F55" s="327"/>
      <c r="G55" s="327"/>
      <c r="H55" s="328"/>
      <c r="I55" s="328"/>
      <c r="J55" s="325">
        <f t="shared" ref="J55:K57" si="24">D55/B55</f>
        <v>89.437410683248999</v>
      </c>
      <c r="K55" s="325">
        <f t="shared" si="24"/>
        <v>300.60300111711604</v>
      </c>
      <c r="L55" s="192">
        <f t="shared" si="21"/>
        <v>59012</v>
      </c>
      <c r="M55" s="323">
        <f t="shared" si="22"/>
        <v>12271896</v>
      </c>
      <c r="N55" s="325">
        <f t="shared" si="23"/>
        <v>207.95594116450891</v>
      </c>
    </row>
    <row r="56" spans="1:15">
      <c r="A56" s="139" t="s">
        <v>180</v>
      </c>
      <c r="B56" s="192">
        <v>23556</v>
      </c>
      <c r="C56" s="192">
        <v>46895</v>
      </c>
      <c r="D56" s="320">
        <v>1819211</v>
      </c>
      <c r="E56" s="323">
        <v>12992461</v>
      </c>
      <c r="F56" s="327"/>
      <c r="G56" s="327"/>
      <c r="H56" s="328"/>
      <c r="I56" s="328"/>
      <c r="J56" s="325">
        <f t="shared" si="24"/>
        <v>77.229198505688572</v>
      </c>
      <c r="K56" s="325">
        <f t="shared" si="24"/>
        <v>277.05429150229236</v>
      </c>
      <c r="L56" s="192">
        <f t="shared" si="21"/>
        <v>70451</v>
      </c>
      <c r="M56" s="323">
        <f t="shared" si="22"/>
        <v>14811672</v>
      </c>
      <c r="N56" s="325">
        <f t="shared" si="23"/>
        <v>210.24076308356163</v>
      </c>
    </row>
    <row r="57" spans="1:15">
      <c r="A57" s="139" t="s">
        <v>320</v>
      </c>
      <c r="B57" s="192">
        <v>17323</v>
      </c>
      <c r="C57" s="192">
        <v>44381</v>
      </c>
      <c r="D57" s="320">
        <v>1619247</v>
      </c>
      <c r="E57" s="323">
        <v>13224853</v>
      </c>
      <c r="F57" s="327">
        <f>SUM(B55:B57)</f>
        <v>66770</v>
      </c>
      <c r="G57" s="327">
        <f>SUM(C55:C57)</f>
        <v>124397</v>
      </c>
      <c r="H57" s="328">
        <f>SUM(D55:D57)</f>
        <v>5754082</v>
      </c>
      <c r="I57" s="328">
        <f>SUM(E55:E57)</f>
        <v>36173586</v>
      </c>
      <c r="J57" s="325">
        <f t="shared" si="24"/>
        <v>93.473820931709284</v>
      </c>
      <c r="K57" s="325">
        <f t="shared" si="24"/>
        <v>297.98456546720445</v>
      </c>
      <c r="L57" s="192">
        <f t="shared" si="21"/>
        <v>61704</v>
      </c>
      <c r="M57" s="323">
        <f t="shared" si="22"/>
        <v>14844100</v>
      </c>
      <c r="N57" s="325">
        <f t="shared" si="23"/>
        <v>240.56949306365877</v>
      </c>
    </row>
    <row r="58" spans="1:15">
      <c r="A58" s="139" t="s">
        <v>182</v>
      </c>
      <c r="B58" s="192">
        <f>Monthly_Imports!B70</f>
        <v>35263</v>
      </c>
      <c r="C58" s="192">
        <f>Monthly_Imports!B71</f>
        <v>59087</v>
      </c>
      <c r="D58" s="320">
        <v>3696107</v>
      </c>
      <c r="E58" s="323">
        <v>21449441</v>
      </c>
      <c r="F58" s="327"/>
      <c r="G58" s="327"/>
      <c r="H58" s="328"/>
      <c r="I58" s="328"/>
      <c r="J58" s="325">
        <f t="shared" ref="J58:J63" si="25">D58/B58</f>
        <v>104.81544394974902</v>
      </c>
      <c r="K58" s="325">
        <f t="shared" ref="K58:K63" si="26">E58/C58</f>
        <v>363.01455480901046</v>
      </c>
      <c r="L58" s="192">
        <f t="shared" ref="L58:L63" si="27">B58+C58</f>
        <v>94350</v>
      </c>
      <c r="M58" s="323">
        <f t="shared" si="22"/>
        <v>25145548</v>
      </c>
      <c r="N58" s="325">
        <f t="shared" si="23"/>
        <v>266.51349231584527</v>
      </c>
    </row>
    <row r="59" spans="1:15">
      <c r="A59" s="139" t="s">
        <v>9</v>
      </c>
      <c r="B59" s="192">
        <f>Monthly_Imports!C70</f>
        <v>33799</v>
      </c>
      <c r="C59" s="192">
        <f>Monthly_Imports!C71</f>
        <v>80685</v>
      </c>
      <c r="D59" s="320">
        <v>3511025</v>
      </c>
      <c r="E59" s="323">
        <v>27709201</v>
      </c>
      <c r="F59" s="327"/>
      <c r="G59" s="327"/>
      <c r="H59" s="328"/>
      <c r="I59" s="328"/>
      <c r="J59" s="325">
        <f t="shared" si="25"/>
        <v>103.87955264948667</v>
      </c>
      <c r="K59" s="325">
        <f t="shared" si="26"/>
        <v>343.4244407262812</v>
      </c>
      <c r="L59" s="192">
        <f t="shared" si="27"/>
        <v>114484</v>
      </c>
      <c r="M59" s="323">
        <f t="shared" si="22"/>
        <v>31220226</v>
      </c>
      <c r="N59" s="325">
        <f t="shared" si="23"/>
        <v>272.70383634394324</v>
      </c>
    </row>
    <row r="60" spans="1:15">
      <c r="A60" s="139" t="s">
        <v>21</v>
      </c>
      <c r="B60" s="192">
        <f>Monthly_Imports!D70</f>
        <v>45196</v>
      </c>
      <c r="C60" s="192">
        <f>Monthly_Imports!D71</f>
        <v>94092</v>
      </c>
      <c r="D60" s="320">
        <v>3734716</v>
      </c>
      <c r="E60" s="323">
        <v>27533632.100000001</v>
      </c>
      <c r="F60" s="327">
        <f>SUM(B58:B60)</f>
        <v>114258</v>
      </c>
      <c r="G60" s="327">
        <f>SUM(C58:C60)</f>
        <v>233864</v>
      </c>
      <c r="H60" s="328">
        <f>SUM(D58:D60)</f>
        <v>10941848</v>
      </c>
      <c r="I60" s="328">
        <f>SUM(E58:E60)</f>
        <v>76692274.099999994</v>
      </c>
      <c r="J60" s="325">
        <f t="shared" si="25"/>
        <v>82.633772900256659</v>
      </c>
      <c r="K60" s="325">
        <f t="shared" si="26"/>
        <v>292.62458126089359</v>
      </c>
      <c r="L60" s="192">
        <f t="shared" si="27"/>
        <v>139288</v>
      </c>
      <c r="M60" s="323">
        <f t="shared" si="22"/>
        <v>31268348.100000001</v>
      </c>
      <c r="N60" s="325">
        <f t="shared" si="23"/>
        <v>224.48702041812649</v>
      </c>
    </row>
    <row r="61" spans="1:15">
      <c r="A61" s="139" t="s">
        <v>10</v>
      </c>
      <c r="B61" s="329">
        <f>Monthly_Imports!E70</f>
        <v>83219</v>
      </c>
      <c r="C61" s="329">
        <f>Monthly_Imports!E71</f>
        <v>119538</v>
      </c>
      <c r="D61" s="320">
        <v>8389844</v>
      </c>
      <c r="E61" s="323">
        <v>30580124</v>
      </c>
      <c r="F61" s="327"/>
      <c r="G61" s="327"/>
      <c r="H61" s="328"/>
      <c r="I61" s="328"/>
      <c r="J61" s="325">
        <f t="shared" si="25"/>
        <v>100.81644816688497</v>
      </c>
      <c r="K61" s="325">
        <f t="shared" si="26"/>
        <v>255.81927085947564</v>
      </c>
      <c r="L61" s="192">
        <f t="shared" si="27"/>
        <v>202757</v>
      </c>
      <c r="M61" s="323">
        <f t="shared" si="22"/>
        <v>38969968</v>
      </c>
      <c r="N61" s="325">
        <f t="shared" si="23"/>
        <v>192.20035806408657</v>
      </c>
    </row>
    <row r="62" spans="1:15">
      <c r="A62" s="139" t="s">
        <v>326</v>
      </c>
      <c r="B62" s="192">
        <f>Monthly_Imports!F70</f>
        <v>67792</v>
      </c>
      <c r="C62" s="192">
        <f>Monthly_Imports!F71</f>
        <v>86715</v>
      </c>
      <c r="D62" s="320">
        <v>5417152</v>
      </c>
      <c r="E62" s="323">
        <v>26213825</v>
      </c>
      <c r="F62" s="327"/>
      <c r="G62" s="327"/>
      <c r="H62" s="328"/>
      <c r="I62" s="328"/>
      <c r="J62" s="325">
        <f t="shared" si="25"/>
        <v>79.908425772952555</v>
      </c>
      <c r="K62" s="325">
        <f t="shared" si="26"/>
        <v>302.29862192238943</v>
      </c>
      <c r="L62" s="192">
        <f t="shared" si="27"/>
        <v>154507</v>
      </c>
      <c r="M62" s="323">
        <f t="shared" si="22"/>
        <v>31630977</v>
      </c>
      <c r="N62" s="325">
        <f t="shared" si="23"/>
        <v>204.72196728950792</v>
      </c>
    </row>
    <row r="63" spans="1:15">
      <c r="A63" s="139" t="s">
        <v>22</v>
      </c>
      <c r="B63" s="192">
        <f>30948</f>
        <v>30948</v>
      </c>
      <c r="C63" s="192">
        <v>61639</v>
      </c>
      <c r="D63" s="320">
        <v>2746487</v>
      </c>
      <c r="E63" s="323">
        <v>22573193</v>
      </c>
      <c r="F63" s="327">
        <f>SUM(B61:B63)</f>
        <v>181959</v>
      </c>
      <c r="G63" s="327">
        <f>SUM(C61:C63)</f>
        <v>267892</v>
      </c>
      <c r="H63" s="328">
        <f>SUM(D61:D63)</f>
        <v>16553483</v>
      </c>
      <c r="I63" s="328">
        <f>SUM(E61:E63)</f>
        <v>79367142</v>
      </c>
      <c r="J63" s="325">
        <f t="shared" si="25"/>
        <v>88.745217784671055</v>
      </c>
      <c r="K63" s="325">
        <f t="shared" si="26"/>
        <v>366.21608072811046</v>
      </c>
      <c r="L63" s="192">
        <f t="shared" si="27"/>
        <v>92587</v>
      </c>
      <c r="M63" s="323">
        <f t="shared" si="22"/>
        <v>25319680</v>
      </c>
      <c r="N63" s="325">
        <f t="shared" si="23"/>
        <v>273.46906153131647</v>
      </c>
    </row>
    <row r="64" spans="1:15">
      <c r="A64" s="139" t="s">
        <v>327</v>
      </c>
      <c r="F64" s="327"/>
      <c r="G64" s="327"/>
      <c r="H64" s="328"/>
      <c r="I64" s="328"/>
      <c r="J64" s="325"/>
      <c r="K64" s="325"/>
      <c r="L64" s="192"/>
      <c r="M64" s="323"/>
      <c r="N64" s="325"/>
    </row>
    <row r="65" spans="1:14">
      <c r="A65" s="139" t="s">
        <v>264</v>
      </c>
      <c r="B65" s="139">
        <v>17020</v>
      </c>
      <c r="C65" s="139">
        <v>51474</v>
      </c>
      <c r="D65" s="320">
        <v>2153621</v>
      </c>
      <c r="E65" s="320">
        <v>17173692</v>
      </c>
      <c r="F65" s="327"/>
      <c r="G65" s="327"/>
      <c r="H65" s="328"/>
      <c r="I65" s="328"/>
      <c r="J65" s="325">
        <f t="shared" ref="J65:K67" si="28">D65/B65</f>
        <v>126.53472385428907</v>
      </c>
      <c r="K65" s="325">
        <f t="shared" si="28"/>
        <v>333.63818626879589</v>
      </c>
      <c r="L65" s="192">
        <f>B65+C65</f>
        <v>68494</v>
      </c>
      <c r="M65" s="323">
        <f>D65+E65</f>
        <v>19327313</v>
      </c>
      <c r="N65" s="325">
        <f>M65/L65</f>
        <v>282.17527082664174</v>
      </c>
    </row>
    <row r="66" spans="1:14">
      <c r="A66" s="139" t="s">
        <v>265</v>
      </c>
      <c r="B66" s="192">
        <f>Monthly_Imports!I70</f>
        <v>13742</v>
      </c>
      <c r="C66" s="192">
        <f>Monthly_Imports!I71</f>
        <v>31490</v>
      </c>
      <c r="D66" s="359">
        <v>1478683</v>
      </c>
      <c r="E66" s="359">
        <v>9793767</v>
      </c>
      <c r="F66" s="327"/>
      <c r="G66" s="327"/>
      <c r="H66" s="328"/>
      <c r="I66" s="328"/>
      <c r="J66" s="325">
        <f t="shared" si="28"/>
        <v>107.60318730897977</v>
      </c>
      <c r="K66" s="325">
        <f t="shared" si="28"/>
        <v>311.01197205462051</v>
      </c>
      <c r="L66" s="192">
        <f>B66+C66</f>
        <v>45232</v>
      </c>
      <c r="M66" s="323">
        <f>D66+E66</f>
        <v>11272450</v>
      </c>
      <c r="N66" s="325">
        <f>M66/L66</f>
        <v>249.21405199858506</v>
      </c>
    </row>
    <row r="67" spans="1:14">
      <c r="A67" s="139" t="s">
        <v>217</v>
      </c>
      <c r="B67" s="192">
        <f>Monthly_Imports!J70</f>
        <v>14628</v>
      </c>
      <c r="C67" s="192">
        <f>Monthly_Imports!J71</f>
        <v>25072</v>
      </c>
      <c r="D67" s="359">
        <v>1507456</v>
      </c>
      <c r="E67" s="359">
        <v>11307496</v>
      </c>
      <c r="F67" s="327">
        <f>SUM(B65:B67)</f>
        <v>45390</v>
      </c>
      <c r="G67" s="327">
        <f>SUM(C65:C67)</f>
        <v>108036</v>
      </c>
      <c r="H67" s="328">
        <f>SUM(D65:D67)</f>
        <v>5139760</v>
      </c>
      <c r="I67" s="328">
        <f>SUM(E65:E67)</f>
        <v>38274955</v>
      </c>
      <c r="J67" s="325">
        <f t="shared" si="28"/>
        <v>103.05277549904294</v>
      </c>
      <c r="K67" s="325">
        <f t="shared" si="28"/>
        <v>451.00095724313974</v>
      </c>
      <c r="L67" s="192">
        <f>B67+C67</f>
        <v>39700</v>
      </c>
      <c r="M67" s="323">
        <f>D67+E67</f>
        <v>12814952</v>
      </c>
      <c r="N67" s="325">
        <f>M67/L67</f>
        <v>322.79476070528966</v>
      </c>
    </row>
    <row r="68" spans="1:14">
      <c r="A68" s="139" t="s">
        <v>280</v>
      </c>
      <c r="B68" s="192">
        <f>Monthly_Imports!K70</f>
        <v>15545</v>
      </c>
      <c r="C68" s="192">
        <f>Monthly_Imports!K71</f>
        <v>22822</v>
      </c>
      <c r="D68" s="359">
        <f>1667038</f>
        <v>1667038</v>
      </c>
      <c r="E68" s="359">
        <v>9453650</v>
      </c>
      <c r="J68" s="325">
        <f t="shared" ref="J68" si="29">D68/B68</f>
        <v>107.23949823094243</v>
      </c>
      <c r="K68" s="325">
        <f t="shared" ref="K68" si="30">E68/C68</f>
        <v>414.23407238629392</v>
      </c>
      <c r="L68" s="192">
        <f>B68+C68</f>
        <v>38367</v>
      </c>
      <c r="M68" s="323">
        <f>D68+E68</f>
        <v>11120688</v>
      </c>
      <c r="N68" s="325">
        <f>M68/L68</f>
        <v>289.8503401360544</v>
      </c>
    </row>
    <row r="69" spans="1:14">
      <c r="A69" s="139" t="s">
        <v>180</v>
      </c>
      <c r="B69" s="329">
        <v>28123</v>
      </c>
      <c r="C69" s="329">
        <v>53545</v>
      </c>
      <c r="D69" s="323">
        <f>2742912</f>
        <v>2742912</v>
      </c>
      <c r="E69" s="323">
        <v>15344647</v>
      </c>
      <c r="J69" s="325">
        <f t="shared" ref="J69" si="31">D69/B69</f>
        <v>97.532695658357923</v>
      </c>
      <c r="K69" s="325">
        <f t="shared" ref="K69" si="32">E69/C69</f>
        <v>286.57478756186384</v>
      </c>
      <c r="L69" s="192">
        <f>B69+C69</f>
        <v>81668</v>
      </c>
      <c r="M69" s="320">
        <f>D69+E69</f>
        <v>18087559</v>
      </c>
      <c r="N69" s="325">
        <f>M69/L69</f>
        <v>221.47669833961893</v>
      </c>
    </row>
  </sheetData>
  <mergeCells count="1">
    <mergeCell ref="A1:XFD9"/>
  </mergeCells>
  <phoneticPr fontId="3" type="noConversion"/>
  <pageMargins left="0.75000000000000011" right="0.75000000000000011" top="0.75" bottom="0.75" header="0.5" footer="0.5"/>
  <pageSetup paperSize="9" orientation="landscape" horizontalDpi="4294967292" verticalDpi="4294967292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O57"/>
  <sheetViews>
    <sheetView topLeftCell="A41" workbookViewId="0">
      <selection activeCell="N55" sqref="N55"/>
    </sheetView>
  </sheetViews>
  <sheetFormatPr defaultColWidth="10.85546875" defaultRowHeight="11.25"/>
  <cols>
    <col min="1" max="7" width="7.140625" style="58" customWidth="1"/>
    <col min="8" max="8" width="8" style="58" customWidth="1"/>
    <col min="9" max="13" width="7.42578125" style="58" customWidth="1"/>
    <col min="14" max="14" width="10.28515625" style="58" customWidth="1"/>
    <col min="15" max="15" width="9.28515625" style="58" customWidth="1"/>
    <col min="16" max="16384" width="10.85546875" style="58"/>
  </cols>
  <sheetData>
    <row r="1" spans="1:15" s="369" customFormat="1" ht="12" customHeight="1"/>
    <row r="2" spans="1:15" s="369" customFormat="1" ht="12" customHeight="1"/>
    <row r="3" spans="1:15" s="369" customFormat="1" ht="12" customHeight="1"/>
    <row r="4" spans="1:15" s="369" customFormat="1" ht="12" customHeight="1"/>
    <row r="5" spans="1:15" s="369" customFormat="1" ht="12" customHeight="1"/>
    <row r="6" spans="1:15" s="369" customFormat="1" ht="12" customHeight="1"/>
    <row r="7" spans="1:15" s="369" customFormat="1" ht="12" customHeight="1"/>
    <row r="8" spans="1:15" s="369" customFormat="1" ht="12" customHeight="1"/>
    <row r="9" spans="1:15" s="369" customFormat="1" ht="12" customHeight="1"/>
    <row r="10" spans="1:15" ht="12" thickBot="1"/>
    <row r="11" spans="1:15">
      <c r="A11" s="75" t="s">
        <v>200</v>
      </c>
      <c r="B11" s="76" t="s">
        <v>182</v>
      </c>
      <c r="C11" s="76" t="s">
        <v>9</v>
      </c>
      <c r="D11" s="76" t="s">
        <v>21</v>
      </c>
      <c r="E11" s="76" t="s">
        <v>10</v>
      </c>
      <c r="F11" s="76" t="s">
        <v>11</v>
      </c>
      <c r="G11" s="76" t="s">
        <v>22</v>
      </c>
      <c r="H11" s="77" t="s">
        <v>264</v>
      </c>
      <c r="I11" s="76" t="s">
        <v>265</v>
      </c>
      <c r="J11" s="76" t="s">
        <v>217</v>
      </c>
      <c r="K11" s="76" t="s">
        <v>280</v>
      </c>
      <c r="L11" s="76" t="s">
        <v>180</v>
      </c>
      <c r="M11" s="78" t="s">
        <v>181</v>
      </c>
      <c r="N11" s="79" t="s">
        <v>50</v>
      </c>
      <c r="O11" s="80" t="s">
        <v>51</v>
      </c>
    </row>
    <row r="12" spans="1:15">
      <c r="A12" s="75" t="s">
        <v>12</v>
      </c>
      <c r="B12" s="81">
        <v>286456</v>
      </c>
      <c r="C12" s="81">
        <v>160413</v>
      </c>
      <c r="D12" s="81">
        <v>74489</v>
      </c>
      <c r="E12" s="81">
        <v>200124</v>
      </c>
      <c r="F12" s="82">
        <v>316536</v>
      </c>
      <c r="G12" s="82">
        <v>128311</v>
      </c>
      <c r="H12" s="83">
        <v>310380</v>
      </c>
      <c r="I12" s="84">
        <v>310415</v>
      </c>
      <c r="J12" s="84">
        <v>128745</v>
      </c>
      <c r="K12" s="84">
        <v>284426</v>
      </c>
      <c r="L12" s="84">
        <v>129332</v>
      </c>
      <c r="M12" s="85">
        <v>170080</v>
      </c>
      <c r="N12" s="86">
        <f>SUM(B12:M12)</f>
        <v>2499707</v>
      </c>
      <c r="O12" s="87">
        <f t="shared" ref="O12:O49" si="0">N12/12</f>
        <v>208308.91666666666</v>
      </c>
    </row>
    <row r="13" spans="1:15">
      <c r="A13" s="75" t="s">
        <v>13</v>
      </c>
      <c r="B13" s="60">
        <v>493541.25</v>
      </c>
      <c r="C13" s="60">
        <v>258056.35</v>
      </c>
      <c r="D13" s="60">
        <v>125270.37</v>
      </c>
      <c r="E13" s="60">
        <v>310835.08</v>
      </c>
      <c r="F13" s="61">
        <v>514835.41</v>
      </c>
      <c r="G13" s="61">
        <v>181253.04</v>
      </c>
      <c r="H13" s="66">
        <v>464216.76</v>
      </c>
      <c r="I13" s="61">
        <v>508609.07</v>
      </c>
      <c r="J13" s="61">
        <v>227749.66</v>
      </c>
      <c r="K13" s="61">
        <v>478855.57</v>
      </c>
      <c r="L13" s="61">
        <v>206675.23</v>
      </c>
      <c r="M13" s="68">
        <v>250048.63</v>
      </c>
      <c r="N13" s="88">
        <f>SUM(B13:M13)</f>
        <v>4019946.4199999995</v>
      </c>
      <c r="O13" s="87">
        <f t="shared" si="0"/>
        <v>334995.53499999997</v>
      </c>
    </row>
    <row r="14" spans="1:15">
      <c r="A14" s="75"/>
      <c r="B14" s="81"/>
      <c r="C14" s="81"/>
      <c r="D14" s="81"/>
      <c r="E14" s="81"/>
      <c r="F14" s="82"/>
      <c r="G14" s="82"/>
      <c r="H14" s="83"/>
      <c r="I14" s="84"/>
      <c r="J14" s="84"/>
      <c r="K14" s="84"/>
      <c r="L14" s="84"/>
      <c r="M14" s="85"/>
      <c r="N14" s="86"/>
      <c r="O14" s="87"/>
    </row>
    <row r="15" spans="1:15">
      <c r="A15" s="75" t="s">
        <v>283</v>
      </c>
      <c r="B15" s="89">
        <f>B13/B12</f>
        <v>1.7229216703437875</v>
      </c>
      <c r="C15" s="89">
        <f t="shared" ref="C15:M15" si="1">C13/C12</f>
        <v>1.6086997313185341</v>
      </c>
      <c r="D15" s="89">
        <f t="shared" si="1"/>
        <v>1.6817297856059283</v>
      </c>
      <c r="E15" s="89">
        <f t="shared" si="1"/>
        <v>1.5532124083068499</v>
      </c>
      <c r="F15" s="89">
        <f t="shared" si="1"/>
        <v>1.6264671632926428</v>
      </c>
      <c r="G15" s="89">
        <f t="shared" si="1"/>
        <v>1.4126071809899385</v>
      </c>
      <c r="H15" s="89">
        <f>H13/H12</f>
        <v>1.495640054127199</v>
      </c>
      <c r="I15" s="89">
        <f t="shared" si="1"/>
        <v>1.638480969025337</v>
      </c>
      <c r="J15" s="89">
        <f t="shared" si="1"/>
        <v>1.7689980970134762</v>
      </c>
      <c r="K15" s="89">
        <f t="shared" si="1"/>
        <v>1.6835857832968857</v>
      </c>
      <c r="L15" s="89">
        <f t="shared" si="1"/>
        <v>1.5980208301116507</v>
      </c>
      <c r="M15" s="90">
        <f t="shared" si="1"/>
        <v>1.4701824435559736</v>
      </c>
      <c r="N15" s="91">
        <f t="shared" ref="N15:N33" si="2">SUM(B15:M15)</f>
        <v>19.260546116988202</v>
      </c>
      <c r="O15" s="87">
        <f t="shared" si="0"/>
        <v>1.6050455097490168</v>
      </c>
    </row>
    <row r="16" spans="1:15">
      <c r="A16" s="84"/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5"/>
      <c r="N16" s="86"/>
      <c r="O16" s="87"/>
    </row>
    <row r="17" spans="1:15">
      <c r="A17" s="75" t="s">
        <v>284</v>
      </c>
      <c r="B17" s="76" t="s">
        <v>182</v>
      </c>
      <c r="C17" s="76" t="s">
        <v>9</v>
      </c>
      <c r="D17" s="76" t="s">
        <v>21</v>
      </c>
      <c r="E17" s="76" t="s">
        <v>10</v>
      </c>
      <c r="F17" s="76" t="s">
        <v>11</v>
      </c>
      <c r="G17" s="76" t="s">
        <v>22</v>
      </c>
      <c r="H17" s="77" t="s">
        <v>264</v>
      </c>
      <c r="I17" s="76" t="s">
        <v>265</v>
      </c>
      <c r="J17" s="76" t="s">
        <v>217</v>
      </c>
      <c r="K17" s="76" t="s">
        <v>280</v>
      </c>
      <c r="L17" s="76" t="s">
        <v>180</v>
      </c>
      <c r="M17" s="78" t="s">
        <v>181</v>
      </c>
      <c r="N17" s="86"/>
      <c r="O17" s="87"/>
    </row>
    <row r="18" spans="1:15">
      <c r="A18" s="75" t="s">
        <v>12</v>
      </c>
      <c r="B18" s="81">
        <v>201127</v>
      </c>
      <c r="C18" s="81">
        <v>309344</v>
      </c>
      <c r="D18" s="81">
        <v>119647</v>
      </c>
      <c r="E18" s="81">
        <v>276588</v>
      </c>
      <c r="F18" s="82">
        <v>179337</v>
      </c>
      <c r="G18" s="82">
        <v>301835</v>
      </c>
      <c r="H18" s="83">
        <v>294013</v>
      </c>
      <c r="I18" s="84">
        <v>99326</v>
      </c>
      <c r="J18" s="84">
        <v>267771</v>
      </c>
      <c r="K18" s="84">
        <v>165316</v>
      </c>
      <c r="L18" s="84">
        <v>222218</v>
      </c>
      <c r="M18" s="85">
        <v>194938</v>
      </c>
      <c r="N18" s="86">
        <f t="shared" si="2"/>
        <v>2631460</v>
      </c>
      <c r="O18" s="87">
        <f t="shared" si="0"/>
        <v>219288.33333333334</v>
      </c>
    </row>
    <row r="19" spans="1:15">
      <c r="A19" s="75" t="s">
        <v>13</v>
      </c>
      <c r="B19" s="60">
        <v>339244.27</v>
      </c>
      <c r="C19" s="60">
        <v>528837.37</v>
      </c>
      <c r="D19" s="60">
        <v>210732.28</v>
      </c>
      <c r="E19" s="60">
        <v>537352.22</v>
      </c>
      <c r="F19" s="61">
        <v>299999.05</v>
      </c>
      <c r="G19" s="61">
        <v>489888.8</v>
      </c>
      <c r="H19" s="66">
        <v>413446.75</v>
      </c>
      <c r="I19" s="61">
        <v>245766.74</v>
      </c>
      <c r="J19" s="61">
        <v>504969.6</v>
      </c>
      <c r="K19" s="61">
        <v>294777</v>
      </c>
      <c r="L19" s="61">
        <v>349771.18</v>
      </c>
      <c r="M19" s="68">
        <v>277941</v>
      </c>
      <c r="N19" s="88">
        <f t="shared" si="2"/>
        <v>4492726.26</v>
      </c>
      <c r="O19" s="87">
        <f t="shared" si="0"/>
        <v>374393.85499999998</v>
      </c>
    </row>
    <row r="20" spans="1:15">
      <c r="A20" s="75"/>
      <c r="B20" s="81"/>
      <c r="C20" s="81"/>
      <c r="D20" s="81"/>
      <c r="E20" s="81"/>
      <c r="F20" s="82"/>
      <c r="G20" s="82"/>
      <c r="H20" s="83"/>
      <c r="I20" s="84"/>
      <c r="J20" s="84"/>
      <c r="K20" s="84"/>
      <c r="L20" s="84"/>
      <c r="M20" s="85"/>
      <c r="N20" s="86"/>
      <c r="O20" s="87"/>
    </row>
    <row r="21" spans="1:15">
      <c r="A21" s="75" t="s">
        <v>283</v>
      </c>
      <c r="B21" s="89">
        <f>B19/B18</f>
        <v>1.6867167013876805</v>
      </c>
      <c r="C21" s="89">
        <f t="shared" ref="C21:M21" si="3">C19/C18</f>
        <v>1.7095446169959656</v>
      </c>
      <c r="D21" s="89">
        <f t="shared" si="3"/>
        <v>1.7612834421255861</v>
      </c>
      <c r="E21" s="89">
        <f t="shared" si="3"/>
        <v>1.9427893473324944</v>
      </c>
      <c r="F21" s="89">
        <f t="shared" si="3"/>
        <v>1.6728229534340375</v>
      </c>
      <c r="G21" s="89">
        <f t="shared" si="3"/>
        <v>1.6230351019596798</v>
      </c>
      <c r="H21" s="89">
        <f t="shared" si="3"/>
        <v>1.4062192828208278</v>
      </c>
      <c r="I21" s="89">
        <f t="shared" si="3"/>
        <v>2.4743444818073819</v>
      </c>
      <c r="J21" s="89">
        <f>J19/J18</f>
        <v>1.885826321745073</v>
      </c>
      <c r="K21" s="89">
        <f t="shared" si="3"/>
        <v>1.783112342422996</v>
      </c>
      <c r="L21" s="89">
        <f>L19/L18</f>
        <v>1.574000216004104</v>
      </c>
      <c r="M21" s="90">
        <f t="shared" si="3"/>
        <v>1.4257917902102206</v>
      </c>
      <c r="N21" s="91">
        <f t="shared" si="2"/>
        <v>20.945486598246045</v>
      </c>
      <c r="O21" s="87">
        <f t="shared" si="0"/>
        <v>1.7454572165205038</v>
      </c>
    </row>
    <row r="22" spans="1:15">
      <c r="A22" s="84"/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5"/>
      <c r="N22" s="86"/>
      <c r="O22" s="87"/>
    </row>
    <row r="23" spans="1:15">
      <c r="A23" s="75" t="s">
        <v>52</v>
      </c>
      <c r="B23" s="76" t="s">
        <v>182</v>
      </c>
      <c r="C23" s="76" t="s">
        <v>9</v>
      </c>
      <c r="D23" s="76" t="s">
        <v>21</v>
      </c>
      <c r="E23" s="76" t="s">
        <v>10</v>
      </c>
      <c r="F23" s="76" t="s">
        <v>11</v>
      </c>
      <c r="G23" s="76" t="s">
        <v>22</v>
      </c>
      <c r="H23" s="77" t="s">
        <v>264</v>
      </c>
      <c r="I23" s="76" t="s">
        <v>265</v>
      </c>
      <c r="J23" s="76" t="s">
        <v>217</v>
      </c>
      <c r="K23" s="76" t="s">
        <v>280</v>
      </c>
      <c r="L23" s="76" t="s">
        <v>180</v>
      </c>
      <c r="M23" s="78" t="s">
        <v>181</v>
      </c>
      <c r="N23" s="86"/>
      <c r="O23" s="87"/>
    </row>
    <row r="24" spans="1:15">
      <c r="A24" s="75" t="s">
        <v>12</v>
      </c>
      <c r="B24" s="81">
        <v>296467</v>
      </c>
      <c r="C24" s="81">
        <v>127016</v>
      </c>
      <c r="D24" s="81">
        <v>241834</v>
      </c>
      <c r="E24" s="81">
        <v>234987</v>
      </c>
      <c r="F24" s="82">
        <v>261467</v>
      </c>
      <c r="G24" s="82">
        <v>339401</v>
      </c>
      <c r="H24" s="83">
        <v>224599</v>
      </c>
      <c r="I24" s="84">
        <v>236480</v>
      </c>
      <c r="J24" s="84">
        <v>101117</v>
      </c>
      <c r="K24" s="84">
        <v>201921</v>
      </c>
      <c r="L24" s="84">
        <v>370105</v>
      </c>
      <c r="M24" s="85">
        <v>237963</v>
      </c>
      <c r="N24" s="86">
        <f t="shared" si="2"/>
        <v>2873357</v>
      </c>
      <c r="O24" s="87">
        <f t="shared" si="0"/>
        <v>239446.41666666666</v>
      </c>
    </row>
    <row r="25" spans="1:15">
      <c r="A25" s="75" t="s">
        <v>13</v>
      </c>
      <c r="B25" s="60">
        <v>526912.06000000006</v>
      </c>
      <c r="C25" s="60">
        <v>216427.82</v>
      </c>
      <c r="D25" s="60">
        <v>396746.63</v>
      </c>
      <c r="E25" s="60">
        <v>409709.9</v>
      </c>
      <c r="F25" s="61">
        <v>526406.38</v>
      </c>
      <c r="G25" s="61">
        <v>533811.31999999995</v>
      </c>
      <c r="H25" s="66">
        <v>458671.94</v>
      </c>
      <c r="I25" s="61">
        <v>453025.52</v>
      </c>
      <c r="J25" s="61">
        <v>231527.49</v>
      </c>
      <c r="K25" s="61">
        <v>374475.12</v>
      </c>
      <c r="L25" s="61">
        <v>684783.25</v>
      </c>
      <c r="M25" s="68">
        <v>553337.81000000006</v>
      </c>
      <c r="N25" s="88">
        <f t="shared" si="2"/>
        <v>5365835.24</v>
      </c>
      <c r="O25" s="87">
        <f t="shared" si="0"/>
        <v>447152.9366666667</v>
      </c>
    </row>
    <row r="26" spans="1:15">
      <c r="A26" s="75"/>
      <c r="B26" s="81"/>
      <c r="C26" s="81"/>
      <c r="D26" s="81"/>
      <c r="E26" s="81"/>
      <c r="F26" s="82"/>
      <c r="G26" s="82"/>
      <c r="H26" s="83"/>
      <c r="I26" s="84"/>
      <c r="J26" s="84"/>
      <c r="K26" s="84"/>
      <c r="L26" s="84"/>
      <c r="M26" s="85"/>
      <c r="N26" s="86"/>
      <c r="O26" s="87"/>
    </row>
    <row r="27" spans="1:15">
      <c r="A27" s="75" t="s">
        <v>283</v>
      </c>
      <c r="B27" s="89">
        <f>B25/B24</f>
        <v>1.7773042530871903</v>
      </c>
      <c r="C27" s="89">
        <f t="shared" ref="C27:M27" si="4">C25/C24</f>
        <v>1.7039413932103042</v>
      </c>
      <c r="D27" s="89">
        <f t="shared" si="4"/>
        <v>1.640574236873227</v>
      </c>
      <c r="E27" s="89">
        <f t="shared" si="4"/>
        <v>1.7435428342844499</v>
      </c>
      <c r="F27" s="89">
        <f t="shared" si="4"/>
        <v>2.013280375726191</v>
      </c>
      <c r="G27" s="89">
        <f t="shared" si="4"/>
        <v>1.5728042050553768</v>
      </c>
      <c r="H27" s="89">
        <f t="shared" si="4"/>
        <v>2.0421815769437974</v>
      </c>
      <c r="I27" s="89">
        <f>I25/I24</f>
        <v>1.9157033152909337</v>
      </c>
      <c r="J27" s="89">
        <f t="shared" si="4"/>
        <v>2.289698962587893</v>
      </c>
      <c r="K27" s="89">
        <f t="shared" si="4"/>
        <v>1.8545625269288484</v>
      </c>
      <c r="L27" s="89">
        <f t="shared" si="4"/>
        <v>1.8502404722984018</v>
      </c>
      <c r="M27" s="90">
        <f t="shared" si="4"/>
        <v>2.3253102793291398</v>
      </c>
      <c r="N27" s="91">
        <f t="shared" si="2"/>
        <v>22.729144431615754</v>
      </c>
      <c r="O27" s="87">
        <f t="shared" si="0"/>
        <v>1.8940953693013129</v>
      </c>
    </row>
    <row r="28" spans="1:15">
      <c r="A28" s="84"/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5"/>
      <c r="N28" s="86"/>
      <c r="O28" s="87"/>
    </row>
    <row r="29" spans="1:15">
      <c r="A29" s="92" t="s">
        <v>53</v>
      </c>
      <c r="B29" s="93" t="s">
        <v>54</v>
      </c>
      <c r="C29" s="93" t="s">
        <v>55</v>
      </c>
      <c r="D29" s="93" t="s">
        <v>56</v>
      </c>
      <c r="E29" s="93" t="s">
        <v>218</v>
      </c>
      <c r="F29" s="93" t="s">
        <v>219</v>
      </c>
      <c r="G29" s="93" t="s">
        <v>220</v>
      </c>
      <c r="H29" s="77" t="s">
        <v>221</v>
      </c>
      <c r="I29" s="93" t="s">
        <v>266</v>
      </c>
      <c r="J29" s="93" t="s">
        <v>279</v>
      </c>
      <c r="K29" s="93" t="s">
        <v>222</v>
      </c>
      <c r="L29" s="93" t="s">
        <v>281</v>
      </c>
      <c r="M29" s="94" t="s">
        <v>282</v>
      </c>
      <c r="N29" s="86"/>
      <c r="O29" s="87"/>
    </row>
    <row r="30" spans="1:15" s="96" customFormat="1">
      <c r="A30" s="71" t="s">
        <v>183</v>
      </c>
      <c r="B30" s="95">
        <v>155732</v>
      </c>
      <c r="C30" s="95">
        <v>270572</v>
      </c>
      <c r="D30" s="95">
        <v>167575</v>
      </c>
      <c r="E30" s="95">
        <v>295772</v>
      </c>
      <c r="F30" s="82">
        <v>157621</v>
      </c>
      <c r="G30" s="82">
        <v>228292</v>
      </c>
      <c r="H30" s="96">
        <v>138404</v>
      </c>
      <c r="I30" s="96">
        <v>198196</v>
      </c>
      <c r="J30" s="84">
        <v>143904</v>
      </c>
      <c r="K30" s="84">
        <v>262667</v>
      </c>
      <c r="L30" s="84">
        <v>184284</v>
      </c>
      <c r="M30" s="85">
        <v>192659</v>
      </c>
      <c r="N30" s="86">
        <f t="shared" si="2"/>
        <v>2395678</v>
      </c>
      <c r="O30" s="87">
        <f t="shared" si="0"/>
        <v>199639.83333333334</v>
      </c>
    </row>
    <row r="31" spans="1:15" s="96" customFormat="1">
      <c r="A31" s="71" t="s">
        <v>224</v>
      </c>
      <c r="B31" s="65">
        <v>294858</v>
      </c>
      <c r="C31" s="65">
        <v>545817</v>
      </c>
      <c r="D31" s="65">
        <v>308778</v>
      </c>
      <c r="E31" s="65">
        <v>652159.02</v>
      </c>
      <c r="F31" s="61">
        <v>269479.23</v>
      </c>
      <c r="G31" s="61">
        <v>476881.62</v>
      </c>
      <c r="H31" s="66">
        <v>276599</v>
      </c>
      <c r="I31" s="61">
        <v>433374.46</v>
      </c>
      <c r="J31" s="61">
        <v>308819.43</v>
      </c>
      <c r="K31" s="61">
        <v>523193</v>
      </c>
      <c r="L31" s="61">
        <v>351322</v>
      </c>
      <c r="M31" s="68">
        <v>378007.34</v>
      </c>
      <c r="N31" s="88">
        <f t="shared" si="2"/>
        <v>4819288.0999999996</v>
      </c>
      <c r="O31" s="87">
        <f t="shared" si="0"/>
        <v>401607.34166666662</v>
      </c>
    </row>
    <row r="32" spans="1:15" s="96" customFormat="1">
      <c r="A32" s="71"/>
      <c r="B32" s="95"/>
      <c r="C32" s="95"/>
      <c r="D32" s="95"/>
      <c r="E32" s="95"/>
      <c r="F32" s="82"/>
      <c r="G32" s="82"/>
      <c r="H32" s="83"/>
      <c r="I32" s="84"/>
      <c r="J32" s="84"/>
      <c r="K32" s="84"/>
      <c r="L32" s="84"/>
      <c r="M32" s="85"/>
      <c r="N32" s="86"/>
      <c r="O32" s="87"/>
    </row>
    <row r="33" spans="1:15" s="96" customFormat="1" ht="12" thickBot="1">
      <c r="A33" s="71" t="s">
        <v>27</v>
      </c>
      <c r="B33" s="97">
        <f t="shared" ref="B33:M33" si="5">B31/B30</f>
        <v>1.8933680939049136</v>
      </c>
      <c r="C33" s="97">
        <f t="shared" si="5"/>
        <v>2.0172708188578272</v>
      </c>
      <c r="D33" s="97">
        <f t="shared" si="5"/>
        <v>1.842625689989557</v>
      </c>
      <c r="E33" s="97">
        <f t="shared" si="5"/>
        <v>2.2049383308764861</v>
      </c>
      <c r="F33" s="97">
        <f t="shared" si="5"/>
        <v>1.7096657805749234</v>
      </c>
      <c r="G33" s="97">
        <f t="shared" si="5"/>
        <v>2.0889107809296865</v>
      </c>
      <c r="H33" s="97">
        <f t="shared" si="5"/>
        <v>1.9984899280367618</v>
      </c>
      <c r="I33" s="97">
        <f t="shared" si="5"/>
        <v>2.1865953904216031</v>
      </c>
      <c r="J33" s="97">
        <f t="shared" si="5"/>
        <v>2.1460100483655768</v>
      </c>
      <c r="K33" s="97">
        <f t="shared" si="5"/>
        <v>1.9918489951154885</v>
      </c>
      <c r="L33" s="97">
        <f t="shared" si="5"/>
        <v>1.9064161837164377</v>
      </c>
      <c r="M33" s="97">
        <f t="shared" si="5"/>
        <v>1.9620538879574794</v>
      </c>
      <c r="N33" s="98">
        <f t="shared" si="2"/>
        <v>23.948193928746743</v>
      </c>
      <c r="O33" s="87">
        <f t="shared" si="0"/>
        <v>1.995682827395562</v>
      </c>
    </row>
    <row r="34" spans="1:15">
      <c r="A34" s="96"/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87"/>
    </row>
    <row r="35" spans="1:15">
      <c r="A35" s="71" t="s">
        <v>82</v>
      </c>
      <c r="B35" s="93" t="s">
        <v>54</v>
      </c>
      <c r="C35" s="93" t="s">
        <v>55</v>
      </c>
      <c r="D35" s="93" t="s">
        <v>56</v>
      </c>
      <c r="E35" s="93" t="s">
        <v>218</v>
      </c>
      <c r="F35" s="93" t="s">
        <v>219</v>
      </c>
      <c r="G35" s="93" t="s">
        <v>220</v>
      </c>
      <c r="H35" s="77" t="s">
        <v>221</v>
      </c>
      <c r="I35" s="93" t="s">
        <v>266</v>
      </c>
      <c r="J35" s="93" t="s">
        <v>279</v>
      </c>
      <c r="K35" s="93" t="s">
        <v>222</v>
      </c>
      <c r="L35" s="93" t="s">
        <v>281</v>
      </c>
      <c r="M35" s="94" t="s">
        <v>282</v>
      </c>
      <c r="N35" s="86"/>
      <c r="O35" s="87"/>
    </row>
    <row r="36" spans="1:15">
      <c r="A36" s="71" t="s">
        <v>183</v>
      </c>
      <c r="B36" s="95">
        <v>343000</v>
      </c>
      <c r="C36" s="95">
        <v>246807</v>
      </c>
      <c r="D36" s="95">
        <f>'[7]U4001381.csv'!$D$29</f>
        <v>109630</v>
      </c>
      <c r="E36" s="95">
        <f>'[8]V9501381.csv'!$D$29</f>
        <v>312476</v>
      </c>
      <c r="F36" s="82">
        <v>170626</v>
      </c>
      <c r="G36" s="82">
        <f>'[9]A9101381.csv'!$D$29</f>
        <v>128699</v>
      </c>
      <c r="H36" s="96">
        <f>'[10]B8401381.csv'!$D$29</f>
        <v>221828</v>
      </c>
      <c r="I36" s="96">
        <f>'[5]C9901381.csv'!$D$30</f>
        <v>136327</v>
      </c>
      <c r="J36" s="84">
        <v>212896</v>
      </c>
      <c r="K36" s="84">
        <v>196318</v>
      </c>
      <c r="L36" s="84">
        <v>117157</v>
      </c>
      <c r="M36" s="85">
        <f>'[6]F6401381.csv'!$D$31</f>
        <v>304638</v>
      </c>
      <c r="N36" s="86">
        <f>SUM(B36:M36)</f>
        <v>2500402</v>
      </c>
      <c r="O36" s="87">
        <f t="shared" si="0"/>
        <v>208366.83333333334</v>
      </c>
    </row>
    <row r="37" spans="1:15">
      <c r="A37" s="71" t="s">
        <v>224</v>
      </c>
      <c r="B37" s="65">
        <v>717765</v>
      </c>
      <c r="C37" s="65">
        <v>431462</v>
      </c>
      <c r="D37" s="65">
        <f>'[7]U4001381.csv'!$E$29</f>
        <v>230522.39</v>
      </c>
      <c r="E37" s="65">
        <f>'[8]V9501381.csv'!$E$29</f>
        <v>583758.92000000004</v>
      </c>
      <c r="F37" s="61">
        <v>323573.67</v>
      </c>
      <c r="G37" s="61">
        <f>'[9]A9101381.csv'!$E$29</f>
        <v>251007.35</v>
      </c>
      <c r="H37" s="66">
        <f>'[10]B8401381.csv'!$E$29</f>
        <v>413822.32</v>
      </c>
      <c r="I37" s="61">
        <f>'[5]C9901381.csv'!$E$30</f>
        <v>239980.3</v>
      </c>
      <c r="J37" s="61">
        <v>417145</v>
      </c>
      <c r="K37" s="61">
        <v>359477</v>
      </c>
      <c r="L37" s="61">
        <v>216213</v>
      </c>
      <c r="M37" s="68">
        <f>'[6]F6401381.csv'!$E$31</f>
        <v>556654.88</v>
      </c>
      <c r="N37" s="88">
        <f>SUM(B37:M37)</f>
        <v>4741381.83</v>
      </c>
      <c r="O37" s="87">
        <f t="shared" si="0"/>
        <v>395115.15250000003</v>
      </c>
    </row>
    <row r="38" spans="1:15">
      <c r="A38" s="71"/>
      <c r="B38" s="95"/>
      <c r="C38" s="95"/>
      <c r="D38" s="95"/>
      <c r="E38" s="95"/>
      <c r="F38" s="82"/>
      <c r="G38" s="82"/>
      <c r="H38" s="83"/>
      <c r="I38" s="84"/>
      <c r="J38" s="84"/>
      <c r="K38" s="84"/>
      <c r="L38" s="84"/>
      <c r="M38" s="85"/>
      <c r="N38" s="88"/>
      <c r="O38" s="87"/>
    </row>
    <row r="39" spans="1:15">
      <c r="A39" s="71" t="s">
        <v>27</v>
      </c>
      <c r="B39" s="97">
        <f t="shared" ref="B39:M39" si="6">B37/B36</f>
        <v>2.0926093294460641</v>
      </c>
      <c r="C39" s="97">
        <f t="shared" si="6"/>
        <v>1.7481757000409226</v>
      </c>
      <c r="D39" s="97">
        <f t="shared" si="6"/>
        <v>2.1027309130712397</v>
      </c>
      <c r="E39" s="97">
        <f t="shared" si="6"/>
        <v>1.8681720196111062</v>
      </c>
      <c r="F39" s="97">
        <f t="shared" si="6"/>
        <v>1.8963913471569396</v>
      </c>
      <c r="G39" s="97">
        <f t="shared" si="6"/>
        <v>1.950344214018757</v>
      </c>
      <c r="H39" s="97">
        <f t="shared" si="6"/>
        <v>1.8655098544818509</v>
      </c>
      <c r="I39" s="97">
        <f t="shared" si="6"/>
        <v>1.7603284749169277</v>
      </c>
      <c r="J39" s="97">
        <f t="shared" si="6"/>
        <v>1.959383924545318</v>
      </c>
      <c r="K39" s="97">
        <f t="shared" si="6"/>
        <v>1.831095467557738</v>
      </c>
      <c r="L39" s="97">
        <f t="shared" si="6"/>
        <v>1.845497921592393</v>
      </c>
      <c r="M39" s="97">
        <f t="shared" si="6"/>
        <v>1.8272667231271214</v>
      </c>
      <c r="N39" s="91">
        <f>SUM(B39:M39)</f>
        <v>22.74750588956638</v>
      </c>
      <c r="O39" s="87">
        <f t="shared" si="0"/>
        <v>1.8956254907971983</v>
      </c>
    </row>
    <row r="40" spans="1:15">
      <c r="E40" s="99"/>
      <c r="F40" s="99"/>
      <c r="G40" s="99"/>
      <c r="O40" s="87"/>
    </row>
    <row r="41" spans="1:15">
      <c r="A41" s="92" t="s">
        <v>228</v>
      </c>
      <c r="B41" s="93" t="s">
        <v>48</v>
      </c>
      <c r="C41" s="93" t="s">
        <v>119</v>
      </c>
      <c r="D41" s="93" t="s">
        <v>120</v>
      </c>
      <c r="E41" s="93" t="s">
        <v>121</v>
      </c>
      <c r="F41" s="93" t="s">
        <v>252</v>
      </c>
      <c r="G41" s="93" t="s">
        <v>34</v>
      </c>
      <c r="H41" s="77" t="s">
        <v>26</v>
      </c>
      <c r="I41" s="93" t="s">
        <v>25</v>
      </c>
      <c r="J41" s="93" t="s">
        <v>122</v>
      </c>
      <c r="K41" s="93" t="s">
        <v>123</v>
      </c>
      <c r="L41" s="93" t="s">
        <v>124</v>
      </c>
      <c r="M41" s="94" t="s">
        <v>125</v>
      </c>
      <c r="N41" s="86"/>
      <c r="O41" s="87"/>
    </row>
    <row r="42" spans="1:15">
      <c r="A42" s="71" t="s">
        <v>183</v>
      </c>
      <c r="B42" s="95">
        <v>187736</v>
      </c>
      <c r="C42" s="95">
        <v>200600</v>
      </c>
      <c r="D42" s="95">
        <v>179576</v>
      </c>
      <c r="E42" s="95">
        <v>110884</v>
      </c>
      <c r="F42" s="82">
        <v>226145</v>
      </c>
      <c r="G42" s="82">
        <v>145448</v>
      </c>
      <c r="H42" s="96">
        <v>177248</v>
      </c>
      <c r="I42" s="96">
        <v>161688</v>
      </c>
      <c r="J42" s="84">
        <v>161604</v>
      </c>
      <c r="K42" s="84">
        <v>159161</v>
      </c>
      <c r="L42" s="84">
        <v>219717</v>
      </c>
      <c r="M42" s="85">
        <v>313054</v>
      </c>
      <c r="N42" s="86">
        <f>SUM(B42:M42)</f>
        <v>2242861</v>
      </c>
      <c r="O42" s="87">
        <f t="shared" si="0"/>
        <v>186905.08333333334</v>
      </c>
    </row>
    <row r="43" spans="1:15">
      <c r="A43" s="71" t="s">
        <v>49</v>
      </c>
      <c r="B43" s="65">
        <v>369492.62</v>
      </c>
      <c r="C43" s="65">
        <v>323964</v>
      </c>
      <c r="D43" s="65">
        <v>310522.7</v>
      </c>
      <c r="E43" s="65">
        <v>187064</v>
      </c>
      <c r="F43" s="61">
        <v>438246</v>
      </c>
      <c r="G43" s="61">
        <v>326211</v>
      </c>
      <c r="H43" s="66">
        <v>308416</v>
      </c>
      <c r="I43" s="61">
        <v>292004</v>
      </c>
      <c r="J43" s="61">
        <v>264508</v>
      </c>
      <c r="K43" s="61">
        <v>317086</v>
      </c>
      <c r="L43" s="61">
        <v>375673</v>
      </c>
      <c r="M43" s="68">
        <v>578048</v>
      </c>
      <c r="N43" s="88">
        <f>SUM(B43:M43)</f>
        <v>4091235.3200000003</v>
      </c>
      <c r="O43" s="87">
        <f t="shared" si="0"/>
        <v>340936.27666666667</v>
      </c>
    </row>
    <row r="44" spans="1:15">
      <c r="A44" s="71"/>
      <c r="B44" s="95"/>
      <c r="C44" s="95"/>
      <c r="D44" s="95"/>
      <c r="E44" s="95"/>
      <c r="F44" s="82"/>
      <c r="G44" s="82"/>
      <c r="H44" s="83"/>
      <c r="I44" s="84"/>
      <c r="J44" s="84"/>
      <c r="K44" s="84"/>
      <c r="L44" s="84"/>
      <c r="M44" s="85"/>
      <c r="N44" s="88"/>
      <c r="O44" s="87"/>
    </row>
    <row r="45" spans="1:15">
      <c r="A45" s="71" t="s">
        <v>27</v>
      </c>
      <c r="B45" s="97">
        <f t="shared" ref="B45:M45" si="7">B43/B42</f>
        <v>1.968150061788895</v>
      </c>
      <c r="C45" s="97">
        <f t="shared" si="7"/>
        <v>1.614975074775673</v>
      </c>
      <c r="D45" s="97">
        <f t="shared" si="7"/>
        <v>1.7291993362141935</v>
      </c>
      <c r="E45" s="97">
        <f t="shared" si="7"/>
        <v>1.6870242776234623</v>
      </c>
      <c r="F45" s="97">
        <f t="shared" si="7"/>
        <v>1.9378982511220677</v>
      </c>
      <c r="G45" s="97">
        <f t="shared" si="7"/>
        <v>2.2428015510697983</v>
      </c>
      <c r="H45" s="97">
        <f t="shared" si="7"/>
        <v>1.740025275320455</v>
      </c>
      <c r="I45" s="97">
        <f t="shared" si="7"/>
        <v>1.8059719954480233</v>
      </c>
      <c r="J45" s="97">
        <f t="shared" si="7"/>
        <v>1.6367664166728546</v>
      </c>
      <c r="K45" s="97">
        <f t="shared" si="7"/>
        <v>1.9922342784978733</v>
      </c>
      <c r="L45" s="97">
        <f t="shared" si="7"/>
        <v>1.7098039751134413</v>
      </c>
      <c r="M45" s="97">
        <f t="shared" si="7"/>
        <v>1.846480159972401</v>
      </c>
      <c r="N45" s="91">
        <f>SUM(B45:M45)</f>
        <v>21.911330653619139</v>
      </c>
      <c r="O45" s="87">
        <f t="shared" si="0"/>
        <v>1.8259442211349282</v>
      </c>
    </row>
    <row r="46" spans="1:15">
      <c r="O46" s="87"/>
    </row>
    <row r="47" spans="1:15">
      <c r="A47" s="92" t="s">
        <v>315</v>
      </c>
      <c r="B47" s="93" t="s">
        <v>48</v>
      </c>
      <c r="C47" s="93" t="s">
        <v>55</v>
      </c>
      <c r="D47" s="93" t="s">
        <v>56</v>
      </c>
      <c r="E47" s="93" t="s">
        <v>121</v>
      </c>
      <c r="F47" s="93" t="s">
        <v>78</v>
      </c>
      <c r="G47" s="93" t="s">
        <v>34</v>
      </c>
      <c r="H47" s="77" t="s">
        <v>26</v>
      </c>
      <c r="I47" s="93" t="s">
        <v>25</v>
      </c>
      <c r="J47" s="93" t="s">
        <v>122</v>
      </c>
      <c r="K47" s="93" t="s">
        <v>40</v>
      </c>
      <c r="L47" s="93" t="s">
        <v>41</v>
      </c>
      <c r="M47" s="94" t="s">
        <v>125</v>
      </c>
      <c r="N47" s="86"/>
      <c r="O47" s="87"/>
    </row>
    <row r="48" spans="1:15">
      <c r="A48" s="71" t="s">
        <v>183</v>
      </c>
      <c r="B48" s="95">
        <v>120918</v>
      </c>
      <c r="C48" s="95">
        <v>247878</v>
      </c>
      <c r="D48" s="95">
        <v>158418</v>
      </c>
      <c r="E48" s="95">
        <v>280100</v>
      </c>
      <c r="F48" s="82">
        <f>221840</f>
        <v>221840</v>
      </c>
      <c r="G48" s="82">
        <v>200405</v>
      </c>
      <c r="H48" s="96">
        <v>117220</v>
      </c>
      <c r="I48" s="96">
        <v>131254</v>
      </c>
      <c r="J48" s="84">
        <v>181644</v>
      </c>
      <c r="K48" s="84">
        <v>215951</v>
      </c>
      <c r="L48" s="84">
        <v>112131</v>
      </c>
      <c r="M48" s="85">
        <v>145209</v>
      </c>
      <c r="N48" s="86">
        <f>SUM(B48:M48)</f>
        <v>2132968</v>
      </c>
      <c r="O48" s="87">
        <f t="shared" si="0"/>
        <v>177747.33333333334</v>
      </c>
    </row>
    <row r="49" spans="1:15">
      <c r="A49" s="71" t="s">
        <v>49</v>
      </c>
      <c r="B49" s="65">
        <v>298286</v>
      </c>
      <c r="C49" s="65">
        <v>488464</v>
      </c>
      <c r="D49" s="65">
        <v>429860</v>
      </c>
      <c r="E49" s="65">
        <v>481157</v>
      </c>
      <c r="F49" s="61">
        <v>460124</v>
      </c>
      <c r="G49" s="61">
        <v>398054</v>
      </c>
      <c r="H49" s="66">
        <v>241824</v>
      </c>
      <c r="I49" s="61">
        <v>277985</v>
      </c>
      <c r="J49" s="61">
        <v>393480</v>
      </c>
      <c r="K49" s="61">
        <v>383305</v>
      </c>
      <c r="L49" s="61">
        <v>271147</v>
      </c>
      <c r="M49" s="68">
        <v>294824</v>
      </c>
      <c r="N49" s="88">
        <f>SUM(B49:M49)</f>
        <v>4418510</v>
      </c>
      <c r="O49" s="87">
        <f t="shared" si="0"/>
        <v>368209.16666666669</v>
      </c>
    </row>
    <row r="50" spans="1:15">
      <c r="A50" s="71"/>
      <c r="B50" s="95"/>
      <c r="C50" s="95"/>
      <c r="D50" s="95"/>
      <c r="E50" s="95"/>
      <c r="F50" s="82"/>
      <c r="G50" s="82"/>
      <c r="H50" s="83"/>
      <c r="I50" s="84"/>
      <c r="J50" s="84"/>
      <c r="K50" s="84"/>
      <c r="L50" s="84"/>
      <c r="M50" s="85"/>
      <c r="N50" s="88"/>
      <c r="O50" s="87"/>
    </row>
    <row r="51" spans="1:15">
      <c r="A51" s="71" t="s">
        <v>27</v>
      </c>
      <c r="B51" s="97">
        <f t="shared" ref="B51:M51" si="8">B49/B48</f>
        <v>2.4668453001207431</v>
      </c>
      <c r="C51" s="97">
        <f t="shared" si="8"/>
        <v>1.9705823025843359</v>
      </c>
      <c r="D51" s="97">
        <f t="shared" si="8"/>
        <v>2.7134542791854459</v>
      </c>
      <c r="E51" s="97">
        <f t="shared" si="8"/>
        <v>1.7178043555872902</v>
      </c>
      <c r="F51" s="97">
        <f t="shared" si="8"/>
        <v>2.0741254958528668</v>
      </c>
      <c r="G51" s="97">
        <f t="shared" si="8"/>
        <v>1.986247848107582</v>
      </c>
      <c r="H51" s="97">
        <f t="shared" si="8"/>
        <v>2.0629926633680258</v>
      </c>
      <c r="I51" s="97">
        <f t="shared" si="8"/>
        <v>2.1179164063571396</v>
      </c>
      <c r="J51" s="97">
        <f t="shared" si="8"/>
        <v>2.1662152341943584</v>
      </c>
      <c r="K51" s="97">
        <f t="shared" si="8"/>
        <v>1.7749628387921335</v>
      </c>
      <c r="L51" s="97">
        <f t="shared" si="8"/>
        <v>2.4181270121554252</v>
      </c>
      <c r="M51" s="97">
        <f t="shared" si="8"/>
        <v>2.0303424718853513</v>
      </c>
      <c r="N51" s="91">
        <f>SUM(B51:M51)</f>
        <v>25.499616208190698</v>
      </c>
      <c r="O51" s="87">
        <f>N51/12</f>
        <v>2.1249680173492247</v>
      </c>
    </row>
    <row r="52" spans="1:15">
      <c r="N52" s="91"/>
      <c r="O52" s="87"/>
    </row>
    <row r="53" spans="1:15">
      <c r="A53" s="92" t="s">
        <v>315</v>
      </c>
      <c r="B53" s="93" t="s">
        <v>48</v>
      </c>
      <c r="C53" s="93" t="s">
        <v>55</v>
      </c>
      <c r="D53" s="93" t="s">
        <v>56</v>
      </c>
      <c r="E53" s="93" t="s">
        <v>121</v>
      </c>
      <c r="F53" s="93" t="s">
        <v>78</v>
      </c>
      <c r="G53" s="93" t="s">
        <v>34</v>
      </c>
      <c r="H53" s="77" t="s">
        <v>26</v>
      </c>
      <c r="I53" s="93" t="s">
        <v>25</v>
      </c>
      <c r="J53" s="93" t="s">
        <v>122</v>
      </c>
      <c r="K53" s="93" t="s">
        <v>40</v>
      </c>
      <c r="L53" s="93" t="s">
        <v>41</v>
      </c>
      <c r="M53" s="94" t="s">
        <v>125</v>
      </c>
      <c r="N53" s="91"/>
      <c r="O53" s="87"/>
    </row>
    <row r="54" spans="1:15">
      <c r="A54" s="71" t="s">
        <v>183</v>
      </c>
      <c r="B54" s="95">
        <v>446322</v>
      </c>
      <c r="C54" s="95">
        <v>280624</v>
      </c>
      <c r="D54" s="95">
        <v>149184</v>
      </c>
      <c r="E54" s="95">
        <v>249667</v>
      </c>
      <c r="F54" s="82">
        <v>164588</v>
      </c>
      <c r="G54" s="82">
        <v>139023</v>
      </c>
      <c r="H54" s="96">
        <v>182108</v>
      </c>
      <c r="I54" s="96">
        <v>111728</v>
      </c>
      <c r="J54" s="84">
        <v>118422</v>
      </c>
      <c r="K54" s="84">
        <v>98320</v>
      </c>
      <c r="L54" s="84">
        <v>297993</v>
      </c>
      <c r="M54" s="85"/>
      <c r="N54" s="100">
        <f>SUM(B54:M54)</f>
        <v>2237979</v>
      </c>
      <c r="O54" s="101">
        <f>N54/11</f>
        <v>203452.63636363635</v>
      </c>
    </row>
    <row r="55" spans="1:15">
      <c r="A55" s="71" t="s">
        <v>49</v>
      </c>
      <c r="B55" s="65">
        <v>835519</v>
      </c>
      <c r="C55" s="65">
        <v>489361</v>
      </c>
      <c r="D55" s="65">
        <v>331245</v>
      </c>
      <c r="E55" s="65">
        <v>558957</v>
      </c>
      <c r="F55" s="61">
        <v>348884</v>
      </c>
      <c r="G55" s="61">
        <v>314331</v>
      </c>
      <c r="H55" s="66">
        <v>397274</v>
      </c>
      <c r="I55" s="61">
        <v>191573</v>
      </c>
      <c r="J55" s="61">
        <v>249415</v>
      </c>
      <c r="K55" s="61">
        <v>236717</v>
      </c>
      <c r="L55" s="61">
        <v>674575</v>
      </c>
      <c r="M55" s="68"/>
      <c r="N55" s="88">
        <f>SUM(B55:M55)</f>
        <v>4627851</v>
      </c>
      <c r="O55" s="101">
        <f>N55/11</f>
        <v>420713.72727272729</v>
      </c>
    </row>
    <row r="56" spans="1:15">
      <c r="A56" s="71"/>
      <c r="B56" s="95"/>
      <c r="C56" s="95"/>
      <c r="D56" s="95"/>
      <c r="E56" s="95"/>
      <c r="F56" s="82"/>
      <c r="G56" s="82"/>
      <c r="H56" s="83"/>
      <c r="I56" s="84"/>
      <c r="J56" s="84"/>
      <c r="K56" s="84"/>
      <c r="L56" s="84"/>
      <c r="M56" s="85"/>
      <c r="N56" s="91"/>
      <c r="O56" s="101"/>
    </row>
    <row r="57" spans="1:15">
      <c r="A57" s="71" t="s">
        <v>27</v>
      </c>
      <c r="B57" s="97">
        <f>B55/B54</f>
        <v>1.8720094460949719</v>
      </c>
      <c r="C57" s="97">
        <f t="shared" ref="C57:M57" si="9">C55/C54</f>
        <v>1.7438316038542676</v>
      </c>
      <c r="D57" s="97">
        <f t="shared" si="9"/>
        <v>2.2203788610038608</v>
      </c>
      <c r="E57" s="97">
        <f t="shared" si="9"/>
        <v>2.2388100950466021</v>
      </c>
      <c r="F57" s="97">
        <f t="shared" si="9"/>
        <v>2.1197414149269691</v>
      </c>
      <c r="G57" s="97">
        <f t="shared" si="9"/>
        <v>2.2609999784208368</v>
      </c>
      <c r="H57" s="97">
        <f t="shared" si="9"/>
        <v>2.181529641751049</v>
      </c>
      <c r="I57" s="97">
        <f t="shared" si="9"/>
        <v>1.7146373335242733</v>
      </c>
      <c r="J57" s="97">
        <f t="shared" si="9"/>
        <v>2.1061542618770162</v>
      </c>
      <c r="K57" s="97">
        <f t="shared" si="9"/>
        <v>2.4076179820992678</v>
      </c>
      <c r="L57" s="97">
        <f t="shared" si="9"/>
        <v>2.2637276714553698</v>
      </c>
      <c r="M57" s="97" t="e">
        <f t="shared" si="9"/>
        <v>#DIV/0!</v>
      </c>
      <c r="N57" s="91">
        <f>SUM(B57:J57)</f>
        <v>18.458092636499845</v>
      </c>
      <c r="O57" s="101">
        <f t="shared" ref="O55:O57" si="10">N57/10</f>
        <v>1.8458092636499845</v>
      </c>
    </row>
  </sheetData>
  <mergeCells count="1">
    <mergeCell ref="A1:XFD9"/>
  </mergeCells>
  <phoneticPr fontId="3" type="noConversion"/>
  <pageMargins left="0.75000000000000011" right="0.75000000000000011" top="0.75" bottom="0.75" header="0.5" footer="0.5"/>
  <pageSetup paperSize="9" orientation="landscape" horizontalDpi="4294967292" verticalDpi="429496729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O57"/>
  <sheetViews>
    <sheetView topLeftCell="A37" workbookViewId="0">
      <selection activeCell="O56" sqref="O56"/>
    </sheetView>
  </sheetViews>
  <sheetFormatPr defaultColWidth="10.85546875" defaultRowHeight="11.25"/>
  <cols>
    <col min="1" max="1" width="8.85546875" style="58" customWidth="1"/>
    <col min="2" max="13" width="8.42578125" style="58" customWidth="1"/>
    <col min="14" max="14" width="9.7109375" style="58" customWidth="1"/>
    <col min="15" max="15" width="10.7109375" style="58" customWidth="1"/>
    <col min="16" max="20" width="8.85546875" style="58" customWidth="1"/>
    <col min="21" max="16384" width="10.85546875" style="58"/>
  </cols>
  <sheetData>
    <row r="1" spans="1:15" s="369" customFormat="1" ht="12" customHeight="1"/>
    <row r="2" spans="1:15" s="369" customFormat="1" ht="12" customHeight="1"/>
    <row r="3" spans="1:15" s="369" customFormat="1" ht="12" customHeight="1"/>
    <row r="4" spans="1:15" s="369" customFormat="1" ht="12" customHeight="1"/>
    <row r="5" spans="1:15" s="369" customFormat="1" ht="12" customHeight="1"/>
    <row r="6" spans="1:15" s="369" customFormat="1" ht="12" customHeight="1"/>
    <row r="7" spans="1:15" s="369" customFormat="1" ht="12" customHeight="1"/>
    <row r="8" spans="1:15" s="369" customFormat="1" ht="12" customHeight="1"/>
    <row r="9" spans="1:15" s="369" customFormat="1" ht="12" customHeight="1"/>
    <row r="10" spans="1:15" ht="12" thickBot="1"/>
    <row r="11" spans="1:15">
      <c r="A11" s="75" t="s">
        <v>255</v>
      </c>
      <c r="B11" s="76" t="s">
        <v>182</v>
      </c>
      <c r="C11" s="76" t="s">
        <v>9</v>
      </c>
      <c r="D11" s="76" t="s">
        <v>21</v>
      </c>
      <c r="E11" s="76" t="s">
        <v>10</v>
      </c>
      <c r="F11" s="76" t="s">
        <v>11</v>
      </c>
      <c r="G11" s="76" t="s">
        <v>22</v>
      </c>
      <c r="H11" s="102" t="s">
        <v>264</v>
      </c>
      <c r="I11" s="76" t="s">
        <v>265</v>
      </c>
      <c r="J11" s="76" t="s">
        <v>217</v>
      </c>
      <c r="K11" s="76" t="s">
        <v>280</v>
      </c>
      <c r="L11" s="76" t="s">
        <v>180</v>
      </c>
      <c r="M11" s="78" t="s">
        <v>181</v>
      </c>
      <c r="N11" s="79" t="s">
        <v>201</v>
      </c>
      <c r="O11" s="80" t="s">
        <v>202</v>
      </c>
    </row>
    <row r="12" spans="1:15">
      <c r="A12" s="75" t="s">
        <v>12</v>
      </c>
      <c r="B12" s="81">
        <v>71538</v>
      </c>
      <c r="C12" s="81">
        <v>69810</v>
      </c>
      <c r="D12" s="81">
        <v>46013</v>
      </c>
      <c r="E12" s="81">
        <v>63623</v>
      </c>
      <c r="F12" s="82">
        <v>74523</v>
      </c>
      <c r="G12" s="82">
        <v>55752</v>
      </c>
      <c r="H12" s="83">
        <v>98171</v>
      </c>
      <c r="I12" s="84">
        <v>111366</v>
      </c>
      <c r="J12" s="84">
        <v>76164</v>
      </c>
      <c r="K12" s="84">
        <v>66521</v>
      </c>
      <c r="L12" s="84">
        <v>45995</v>
      </c>
      <c r="M12" s="85">
        <v>49219</v>
      </c>
      <c r="N12" s="86">
        <f>SUM(B12:M12)</f>
        <v>828695</v>
      </c>
      <c r="O12" s="87">
        <f t="shared" ref="O12:O49" si="0">N12/12</f>
        <v>69057.916666666672</v>
      </c>
    </row>
    <row r="13" spans="1:15">
      <c r="A13" s="75" t="s">
        <v>13</v>
      </c>
      <c r="B13" s="60">
        <v>552101.34</v>
      </c>
      <c r="C13" s="60">
        <v>547599.05000000005</v>
      </c>
      <c r="D13" s="60">
        <v>471076.17</v>
      </c>
      <c r="E13" s="60">
        <v>467496.65</v>
      </c>
      <c r="F13" s="61">
        <v>704514.12</v>
      </c>
      <c r="G13" s="61">
        <v>383508.05</v>
      </c>
      <c r="H13" s="66">
        <v>963787.43</v>
      </c>
      <c r="I13" s="61">
        <v>569999.54</v>
      </c>
      <c r="J13" s="61">
        <v>542673</v>
      </c>
      <c r="K13" s="61">
        <v>507426</v>
      </c>
      <c r="L13" s="61">
        <v>439666</v>
      </c>
      <c r="M13" s="68">
        <v>403542.51</v>
      </c>
      <c r="N13" s="88">
        <f>SUM(B13:M13)</f>
        <v>6553389.8599999994</v>
      </c>
      <c r="O13" s="87">
        <f t="shared" si="0"/>
        <v>546115.82166666666</v>
      </c>
    </row>
    <row r="14" spans="1:15">
      <c r="A14" s="75"/>
      <c r="B14" s="103"/>
      <c r="C14" s="103"/>
      <c r="D14" s="103"/>
      <c r="E14" s="103"/>
      <c r="F14" s="104"/>
      <c r="G14" s="104"/>
      <c r="H14" s="105"/>
      <c r="I14" s="106"/>
      <c r="J14" s="106"/>
      <c r="K14" s="106"/>
      <c r="L14" s="106"/>
      <c r="M14" s="107"/>
      <c r="N14" s="86"/>
      <c r="O14" s="87"/>
    </row>
    <row r="15" spans="1:15">
      <c r="A15" s="75" t="s">
        <v>283</v>
      </c>
      <c r="B15" s="89">
        <f>B13/B12</f>
        <v>7.7175954038413144</v>
      </c>
      <c r="C15" s="89">
        <f t="shared" ref="C15:M15" si="1">C13/C12</f>
        <v>7.8441347944420574</v>
      </c>
      <c r="D15" s="89">
        <f t="shared" si="1"/>
        <v>10.23789298676461</v>
      </c>
      <c r="E15" s="89">
        <f t="shared" si="1"/>
        <v>7.3479189915596566</v>
      </c>
      <c r="F15" s="89">
        <f t="shared" si="1"/>
        <v>9.4536467936073425</v>
      </c>
      <c r="G15" s="89">
        <f t="shared" si="1"/>
        <v>6.8788213875735398</v>
      </c>
      <c r="H15" s="89">
        <f>H13/H12</f>
        <v>9.8174351896181165</v>
      </c>
      <c r="I15" s="89">
        <f t="shared" si="1"/>
        <v>5.1182545839843403</v>
      </c>
      <c r="J15" s="89">
        <f t="shared" si="1"/>
        <v>7.1250590830313536</v>
      </c>
      <c r="K15" s="89">
        <f t="shared" si="1"/>
        <v>7.6280573052118879</v>
      </c>
      <c r="L15" s="89">
        <f t="shared" si="1"/>
        <v>9.5589955429938041</v>
      </c>
      <c r="M15" s="90">
        <f t="shared" si="1"/>
        <v>8.1989172880391727</v>
      </c>
      <c r="N15" s="91">
        <f>SUM(B15:M15)</f>
        <v>96.926729350667188</v>
      </c>
      <c r="O15" s="87">
        <f t="shared" si="0"/>
        <v>8.0772274458889317</v>
      </c>
    </row>
    <row r="16" spans="1:15">
      <c r="A16" s="84"/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7"/>
      <c r="N16" s="86"/>
      <c r="O16" s="87"/>
    </row>
    <row r="17" spans="1:15">
      <c r="A17" s="75" t="s">
        <v>284</v>
      </c>
      <c r="B17" s="76" t="s">
        <v>182</v>
      </c>
      <c r="C17" s="76" t="s">
        <v>9</v>
      </c>
      <c r="D17" s="76" t="s">
        <v>21</v>
      </c>
      <c r="E17" s="76" t="s">
        <v>10</v>
      </c>
      <c r="F17" s="76" t="s">
        <v>11</v>
      </c>
      <c r="G17" s="76" t="s">
        <v>22</v>
      </c>
      <c r="H17" s="102" t="s">
        <v>264</v>
      </c>
      <c r="I17" s="76" t="s">
        <v>265</v>
      </c>
      <c r="J17" s="76" t="s">
        <v>217</v>
      </c>
      <c r="K17" s="76" t="s">
        <v>280</v>
      </c>
      <c r="L17" s="76" t="s">
        <v>180</v>
      </c>
      <c r="M17" s="78" t="s">
        <v>181</v>
      </c>
      <c r="N17" s="86"/>
      <c r="O17" s="87"/>
    </row>
    <row r="18" spans="1:15">
      <c r="A18" s="75" t="s">
        <v>12</v>
      </c>
      <c r="B18" s="81">
        <v>49055</v>
      </c>
      <c r="C18" s="81">
        <v>165080</v>
      </c>
      <c r="D18" s="81">
        <v>19861</v>
      </c>
      <c r="E18" s="81">
        <v>91931</v>
      </c>
      <c r="F18" s="82">
        <v>75935</v>
      </c>
      <c r="G18" s="82">
        <v>87512</v>
      </c>
      <c r="H18" s="83">
        <v>73590</v>
      </c>
      <c r="I18" s="84">
        <v>46789</v>
      </c>
      <c r="J18" s="84">
        <v>76800</v>
      </c>
      <c r="K18" s="84">
        <v>91379</v>
      </c>
      <c r="L18" s="84">
        <v>81814</v>
      </c>
      <c r="M18" s="85">
        <v>49253</v>
      </c>
      <c r="N18" s="86">
        <f>SUM(B18:M18)</f>
        <v>908999</v>
      </c>
      <c r="O18" s="87">
        <f t="shared" si="0"/>
        <v>75749.916666666672</v>
      </c>
    </row>
    <row r="19" spans="1:15">
      <c r="A19" s="75" t="s">
        <v>13</v>
      </c>
      <c r="B19" s="60">
        <v>437471</v>
      </c>
      <c r="C19" s="60">
        <v>707481</v>
      </c>
      <c r="D19" s="60">
        <v>219610</v>
      </c>
      <c r="E19" s="60">
        <v>918051</v>
      </c>
      <c r="F19" s="61">
        <v>742804</v>
      </c>
      <c r="G19" s="61">
        <v>521945</v>
      </c>
      <c r="H19" s="66">
        <v>649075</v>
      </c>
      <c r="I19" s="61">
        <v>627205</v>
      </c>
      <c r="J19" s="61">
        <v>720328</v>
      </c>
      <c r="K19" s="61">
        <v>816082</v>
      </c>
      <c r="L19" s="61">
        <v>767837</v>
      </c>
      <c r="M19" s="68">
        <v>566967</v>
      </c>
      <c r="N19" s="88">
        <f>SUM(B19:M19)</f>
        <v>7694856</v>
      </c>
      <c r="O19" s="87">
        <f t="shared" si="0"/>
        <v>641238</v>
      </c>
    </row>
    <row r="20" spans="1:15">
      <c r="A20" s="75"/>
      <c r="B20" s="103"/>
      <c r="C20" s="103"/>
      <c r="D20" s="103"/>
      <c r="E20" s="103"/>
      <c r="F20" s="104"/>
      <c r="G20" s="104"/>
      <c r="H20" s="105"/>
      <c r="I20" s="106"/>
      <c r="J20" s="106"/>
      <c r="K20" s="106"/>
      <c r="L20" s="106"/>
      <c r="M20" s="107"/>
      <c r="N20" s="86"/>
      <c r="O20" s="87"/>
    </row>
    <row r="21" spans="1:15">
      <c r="A21" s="75" t="s">
        <v>283</v>
      </c>
      <c r="B21" s="89">
        <f>B19/B18</f>
        <v>8.9179696259300787</v>
      </c>
      <c r="C21" s="89">
        <f t="shared" ref="C21:M21" si="2">C19/C18</f>
        <v>4.2856857281318153</v>
      </c>
      <c r="D21" s="89">
        <f t="shared" si="2"/>
        <v>11.057348572579427</v>
      </c>
      <c r="E21" s="89">
        <f t="shared" si="2"/>
        <v>9.9863049461008799</v>
      </c>
      <c r="F21" s="89">
        <f t="shared" si="2"/>
        <v>9.7821031145058281</v>
      </c>
      <c r="G21" s="89">
        <f t="shared" si="2"/>
        <v>5.9642677575646772</v>
      </c>
      <c r="H21" s="89">
        <f t="shared" si="2"/>
        <v>8.8201521945916568</v>
      </c>
      <c r="I21" s="89">
        <f t="shared" si="2"/>
        <v>13.404966979418239</v>
      </c>
      <c r="J21" s="89">
        <f>J19/J18</f>
        <v>9.379270833333333</v>
      </c>
      <c r="K21" s="89">
        <f t="shared" si="2"/>
        <v>8.9307390100570156</v>
      </c>
      <c r="L21" s="89">
        <f>L19/L18</f>
        <v>9.3851541300999823</v>
      </c>
      <c r="M21" s="90">
        <f t="shared" si="2"/>
        <v>11.511319107465535</v>
      </c>
      <c r="N21" s="91">
        <f>SUM(B21:M21)</f>
        <v>111.42528199977846</v>
      </c>
      <c r="O21" s="87">
        <f t="shared" si="0"/>
        <v>9.2854401666482058</v>
      </c>
    </row>
    <row r="22" spans="1:15">
      <c r="A22" s="84"/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7"/>
      <c r="N22" s="86"/>
      <c r="O22" s="87"/>
    </row>
    <row r="23" spans="1:15">
      <c r="A23" s="75" t="s">
        <v>134</v>
      </c>
      <c r="B23" s="76" t="s">
        <v>182</v>
      </c>
      <c r="C23" s="76" t="s">
        <v>9</v>
      </c>
      <c r="D23" s="76" t="s">
        <v>21</v>
      </c>
      <c r="E23" s="76" t="s">
        <v>10</v>
      </c>
      <c r="F23" s="76" t="s">
        <v>11</v>
      </c>
      <c r="G23" s="76" t="s">
        <v>22</v>
      </c>
      <c r="H23" s="102" t="s">
        <v>264</v>
      </c>
      <c r="I23" s="76" t="s">
        <v>265</v>
      </c>
      <c r="J23" s="76" t="s">
        <v>217</v>
      </c>
      <c r="K23" s="76" t="s">
        <v>280</v>
      </c>
      <c r="L23" s="76" t="s">
        <v>180</v>
      </c>
      <c r="M23" s="78" t="s">
        <v>181</v>
      </c>
      <c r="N23" s="86"/>
      <c r="O23" s="87"/>
    </row>
    <row r="24" spans="1:15">
      <c r="A24" s="75" t="s">
        <v>12</v>
      </c>
      <c r="B24" s="81">
        <v>100165</v>
      </c>
      <c r="C24" s="81">
        <v>63657</v>
      </c>
      <c r="D24" s="81">
        <v>66370</v>
      </c>
      <c r="E24" s="81">
        <v>89058</v>
      </c>
      <c r="F24" s="82">
        <v>64744</v>
      </c>
      <c r="G24" s="82">
        <v>59562</v>
      </c>
      <c r="H24" s="83">
        <v>62374</v>
      </c>
      <c r="I24" s="84">
        <v>82771</v>
      </c>
      <c r="J24" s="84">
        <v>48256</v>
      </c>
      <c r="K24" s="84">
        <v>69319</v>
      </c>
      <c r="L24" s="84">
        <v>88743</v>
      </c>
      <c r="M24" s="85">
        <v>50019</v>
      </c>
      <c r="N24" s="86">
        <f>SUM(B24:M24)</f>
        <v>845038</v>
      </c>
      <c r="O24" s="87">
        <f t="shared" si="0"/>
        <v>70419.833333333328</v>
      </c>
    </row>
    <row r="25" spans="1:15">
      <c r="A25" s="75" t="s">
        <v>13</v>
      </c>
      <c r="B25" s="60">
        <v>903092</v>
      </c>
      <c r="C25" s="60">
        <v>555885</v>
      </c>
      <c r="D25" s="60">
        <v>486811</v>
      </c>
      <c r="E25" s="60">
        <v>725908</v>
      </c>
      <c r="F25" s="61">
        <v>653499</v>
      </c>
      <c r="G25" s="61">
        <v>610592</v>
      </c>
      <c r="H25" s="66">
        <v>721809</v>
      </c>
      <c r="I25" s="61">
        <v>937052</v>
      </c>
      <c r="J25" s="61">
        <v>460854</v>
      </c>
      <c r="K25" s="61">
        <v>639942</v>
      </c>
      <c r="L25" s="61">
        <v>844253</v>
      </c>
      <c r="M25" s="68">
        <v>604951</v>
      </c>
      <c r="N25" s="88">
        <f>SUM(B25:M25)</f>
        <v>8144648</v>
      </c>
      <c r="O25" s="87">
        <f t="shared" si="0"/>
        <v>678720.66666666663</v>
      </c>
    </row>
    <row r="26" spans="1:15">
      <c r="A26" s="75"/>
      <c r="B26" s="103"/>
      <c r="C26" s="103"/>
      <c r="D26" s="103"/>
      <c r="E26" s="103"/>
      <c r="F26" s="104"/>
      <c r="G26" s="104"/>
      <c r="H26" s="105"/>
      <c r="I26" s="106"/>
      <c r="J26" s="106"/>
      <c r="K26" s="106"/>
      <c r="L26" s="106"/>
      <c r="M26" s="107"/>
      <c r="N26" s="86"/>
      <c r="O26" s="87"/>
    </row>
    <row r="27" spans="1:15">
      <c r="A27" s="75" t="s">
        <v>283</v>
      </c>
      <c r="B27" s="89">
        <f>B25/B24</f>
        <v>9.0160435281785052</v>
      </c>
      <c r="C27" s="89">
        <f t="shared" ref="C27:M27" si="3">C25/C24</f>
        <v>8.7325038880248833</v>
      </c>
      <c r="D27" s="89">
        <f t="shared" si="3"/>
        <v>7.3348048817236702</v>
      </c>
      <c r="E27" s="89">
        <f t="shared" si="3"/>
        <v>8.1509578027802103</v>
      </c>
      <c r="F27" s="89">
        <f t="shared" si="3"/>
        <v>10.093583961448164</v>
      </c>
      <c r="G27" s="89">
        <f t="shared" si="3"/>
        <v>10.25136832208455</v>
      </c>
      <c r="H27" s="89">
        <f t="shared" si="3"/>
        <v>11.572273703786834</v>
      </c>
      <c r="I27" s="89">
        <f>I25/I24</f>
        <v>11.321018231022943</v>
      </c>
      <c r="J27" s="89">
        <f t="shared" si="3"/>
        <v>9.5501906498673748</v>
      </c>
      <c r="K27" s="89">
        <f t="shared" si="3"/>
        <v>9.2318411979399588</v>
      </c>
      <c r="L27" s="89">
        <f t="shared" si="3"/>
        <v>9.5134602165804623</v>
      </c>
      <c r="M27" s="90">
        <f t="shared" si="3"/>
        <v>12.094424118834842</v>
      </c>
      <c r="N27" s="91">
        <f>SUM(B27:M27)</f>
        <v>116.8624705022724</v>
      </c>
      <c r="O27" s="87">
        <f t="shared" si="0"/>
        <v>9.7385392085227007</v>
      </c>
    </row>
    <row r="28" spans="1:15">
      <c r="A28" s="84"/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7"/>
      <c r="N28" s="86"/>
      <c r="O28" s="87"/>
    </row>
    <row r="29" spans="1:15">
      <c r="A29" s="71" t="s">
        <v>47</v>
      </c>
      <c r="B29" s="108" t="s">
        <v>48</v>
      </c>
      <c r="C29" s="108" t="s">
        <v>119</v>
      </c>
      <c r="D29" s="108" t="s">
        <v>120</v>
      </c>
      <c r="E29" s="108" t="s">
        <v>121</v>
      </c>
      <c r="F29" s="108" t="s">
        <v>252</v>
      </c>
      <c r="G29" s="108" t="s">
        <v>143</v>
      </c>
      <c r="H29" s="102" t="s">
        <v>144</v>
      </c>
      <c r="I29" s="108" t="s">
        <v>145</v>
      </c>
      <c r="J29" s="108" t="s">
        <v>122</v>
      </c>
      <c r="K29" s="108" t="s">
        <v>123</v>
      </c>
      <c r="L29" s="108" t="s">
        <v>124</v>
      </c>
      <c r="M29" s="109" t="s">
        <v>125</v>
      </c>
      <c r="N29" s="86"/>
      <c r="O29" s="87"/>
    </row>
    <row r="30" spans="1:15">
      <c r="A30" s="71" t="s">
        <v>256</v>
      </c>
      <c r="B30" s="95">
        <v>57205</v>
      </c>
      <c r="C30" s="95">
        <v>89507</v>
      </c>
      <c r="D30" s="95">
        <v>27495</v>
      </c>
      <c r="E30" s="95">
        <v>62166</v>
      </c>
      <c r="F30" s="82">
        <v>54312</v>
      </c>
      <c r="G30" s="82">
        <v>71587.33</v>
      </c>
      <c r="H30" s="82">
        <v>29187</v>
      </c>
      <c r="I30" s="96">
        <v>72981</v>
      </c>
      <c r="J30" s="84">
        <v>53096</v>
      </c>
      <c r="K30" s="84">
        <v>64528</v>
      </c>
      <c r="L30" s="84">
        <v>68545</v>
      </c>
      <c r="M30" s="85">
        <v>80745</v>
      </c>
      <c r="N30" s="86">
        <f>SUM(B30:M30)</f>
        <v>731354.33000000007</v>
      </c>
      <c r="O30" s="87">
        <f t="shared" si="0"/>
        <v>60946.194166666675</v>
      </c>
    </row>
    <row r="31" spans="1:15">
      <c r="A31" s="71" t="s">
        <v>224</v>
      </c>
      <c r="B31" s="65">
        <v>513727.76</v>
      </c>
      <c r="C31" s="65">
        <v>837041.18</v>
      </c>
      <c r="D31" s="65">
        <v>357033.34</v>
      </c>
      <c r="E31" s="65">
        <v>806311.11</v>
      </c>
      <c r="F31" s="61">
        <v>571803.16</v>
      </c>
      <c r="G31" s="66">
        <v>1005638.33</v>
      </c>
      <c r="H31" s="110">
        <v>485423.55</v>
      </c>
      <c r="I31" s="61">
        <v>924019.61</v>
      </c>
      <c r="J31" s="61">
        <v>798455.94</v>
      </c>
      <c r="K31" s="61">
        <v>687711</v>
      </c>
      <c r="L31" s="61">
        <v>866868</v>
      </c>
      <c r="M31" s="68">
        <v>970316.24</v>
      </c>
      <c r="N31" s="88">
        <f>SUM(B31:M31)</f>
        <v>8824349.2200000007</v>
      </c>
      <c r="O31" s="87">
        <f t="shared" si="0"/>
        <v>735362.43500000006</v>
      </c>
    </row>
    <row r="32" spans="1:15">
      <c r="A32" s="71"/>
      <c r="B32" s="72"/>
      <c r="C32" s="72"/>
      <c r="D32" s="72"/>
      <c r="E32" s="72"/>
      <c r="F32" s="104"/>
      <c r="G32" s="104"/>
      <c r="H32" s="105"/>
      <c r="I32" s="106"/>
      <c r="J32" s="106"/>
      <c r="K32" s="106"/>
      <c r="L32" s="106"/>
      <c r="M32" s="85"/>
      <c r="N32" s="86"/>
      <c r="O32" s="87"/>
    </row>
    <row r="33" spans="1:15" ht="12" thickBot="1">
      <c r="A33" s="71" t="s">
        <v>27</v>
      </c>
      <c r="B33" s="97">
        <f t="shared" ref="B33:G33" si="4">B31/B30</f>
        <v>8.9804695393759282</v>
      </c>
      <c r="C33" s="97">
        <f t="shared" si="4"/>
        <v>9.3516840023685308</v>
      </c>
      <c r="D33" s="97">
        <f t="shared" si="4"/>
        <v>12.985391525731952</v>
      </c>
      <c r="E33" s="97">
        <f t="shared" si="4"/>
        <v>12.970290995077695</v>
      </c>
      <c r="F33" s="97">
        <f t="shared" si="4"/>
        <v>10.528118279569894</v>
      </c>
      <c r="G33" s="97">
        <f t="shared" si="4"/>
        <v>14.047713890153465</v>
      </c>
      <c r="H33" s="97">
        <f t="shared" ref="H33:M33" si="5">H31/H30</f>
        <v>16.63149861239593</v>
      </c>
      <c r="I33" s="97">
        <f t="shared" si="5"/>
        <v>12.661098231046436</v>
      </c>
      <c r="J33" s="97">
        <f t="shared" si="5"/>
        <v>15.03796783185174</v>
      </c>
      <c r="K33" s="97">
        <f t="shared" si="5"/>
        <v>10.657559509050335</v>
      </c>
      <c r="L33" s="97">
        <f t="shared" si="5"/>
        <v>12.646699248668758</v>
      </c>
      <c r="M33" s="97">
        <f t="shared" si="5"/>
        <v>12.017044275187319</v>
      </c>
      <c r="N33" s="98">
        <f>SUM(B33:M33)</f>
        <v>148.51553594047797</v>
      </c>
      <c r="O33" s="87">
        <f t="shared" si="0"/>
        <v>12.376294661706497</v>
      </c>
    </row>
    <row r="34" spans="1:15">
      <c r="O34" s="87"/>
    </row>
    <row r="35" spans="1:15">
      <c r="A35" s="71" t="s">
        <v>82</v>
      </c>
      <c r="B35" s="108" t="s">
        <v>48</v>
      </c>
      <c r="C35" s="108" t="s">
        <v>119</v>
      </c>
      <c r="D35" s="108" t="s">
        <v>120</v>
      </c>
      <c r="E35" s="108" t="s">
        <v>121</v>
      </c>
      <c r="F35" s="108" t="s">
        <v>252</v>
      </c>
      <c r="G35" s="108" t="s">
        <v>143</v>
      </c>
      <c r="H35" s="102" t="s">
        <v>144</v>
      </c>
      <c r="I35" s="108" t="s">
        <v>145</v>
      </c>
      <c r="J35" s="108" t="s">
        <v>122</v>
      </c>
      <c r="K35" s="108" t="s">
        <v>123</v>
      </c>
      <c r="L35" s="108" t="s">
        <v>124</v>
      </c>
      <c r="M35" s="109" t="s">
        <v>125</v>
      </c>
      <c r="N35" s="86"/>
      <c r="O35" s="87"/>
    </row>
    <row r="36" spans="1:15">
      <c r="A36" s="71" t="s">
        <v>256</v>
      </c>
      <c r="B36" s="95">
        <v>68108</v>
      </c>
      <c r="C36" s="95">
        <v>92804</v>
      </c>
      <c r="D36" s="95">
        <f>'[7]U4001381.csv'!$D$28</f>
        <v>93777</v>
      </c>
      <c r="E36" s="95">
        <f>'[8]V9501381.csv'!$D$28</f>
        <v>45770</v>
      </c>
      <c r="F36" s="82">
        <v>59716</v>
      </c>
      <c r="G36" s="82">
        <f>'[9]A9101381.csv'!$D$28</f>
        <v>53152</v>
      </c>
      <c r="H36" s="82">
        <f>'[10]B8401381.csv'!$D$28</f>
        <v>76197</v>
      </c>
      <c r="I36" s="96">
        <f>'[5]C9901381.csv'!$D$29</f>
        <v>43174</v>
      </c>
      <c r="J36" s="84">
        <v>75907</v>
      </c>
      <c r="K36" s="84">
        <v>74168</v>
      </c>
      <c r="L36" s="84">
        <v>41720</v>
      </c>
      <c r="M36" s="85">
        <f>'[6]F6401381.csv'!$D$30</f>
        <v>93238</v>
      </c>
      <c r="N36" s="86">
        <f>SUM(B36:M36)</f>
        <v>817731</v>
      </c>
      <c r="O36" s="87">
        <f t="shared" si="0"/>
        <v>68144.25</v>
      </c>
    </row>
    <row r="37" spans="1:15">
      <c r="A37" s="71" t="s">
        <v>224</v>
      </c>
      <c r="B37" s="65">
        <v>786953</v>
      </c>
      <c r="C37" s="65">
        <v>931592</v>
      </c>
      <c r="D37" s="65">
        <f>'[7]U4001381.csv'!$E$28</f>
        <v>1003155.35</v>
      </c>
      <c r="E37" s="65">
        <f>'[8]V9501381.csv'!$E$28</f>
        <v>564647.04</v>
      </c>
      <c r="F37" s="61">
        <v>720057.05</v>
      </c>
      <c r="G37" s="66">
        <f>'[9]A9101381.csv'!$E$28</f>
        <v>663013.81000000006</v>
      </c>
      <c r="H37" s="110">
        <f>'[10]B8401381.csv'!$E$28</f>
        <v>1018959.47</v>
      </c>
      <c r="I37" s="61">
        <f>'[5]C9901381.csv'!$E$29</f>
        <v>512182.83</v>
      </c>
      <c r="J37" s="61">
        <v>657596.6</v>
      </c>
      <c r="K37" s="61">
        <v>833513</v>
      </c>
      <c r="L37" s="61">
        <v>494957</v>
      </c>
      <c r="M37" s="68">
        <f>'[6]F6401381.csv'!$E$30</f>
        <v>830172.76</v>
      </c>
      <c r="N37" s="86">
        <f>SUM(B37:M37)</f>
        <v>9016799.9100000001</v>
      </c>
      <c r="O37" s="87">
        <f t="shared" si="0"/>
        <v>751399.99250000005</v>
      </c>
    </row>
    <row r="38" spans="1:15">
      <c r="A38" s="71"/>
      <c r="B38" s="72"/>
      <c r="C38" s="72"/>
      <c r="D38" s="72"/>
      <c r="E38" s="72"/>
      <c r="F38" s="104"/>
      <c r="G38" s="104"/>
      <c r="H38" s="105"/>
      <c r="I38" s="106"/>
      <c r="J38" s="106"/>
      <c r="K38" s="106"/>
      <c r="L38" s="106"/>
      <c r="M38" s="85"/>
      <c r="N38" s="86"/>
      <c r="O38" s="87"/>
    </row>
    <row r="39" spans="1:15">
      <c r="A39" s="71" t="s">
        <v>27</v>
      </c>
      <c r="B39" s="97">
        <f t="shared" ref="B39:M39" si="6">B37/B36</f>
        <v>11.554486991249192</v>
      </c>
      <c r="C39" s="97">
        <f t="shared" si="6"/>
        <v>10.038274212318434</v>
      </c>
      <c r="D39" s="97">
        <f t="shared" si="6"/>
        <v>10.697242927370251</v>
      </c>
      <c r="E39" s="97">
        <f t="shared" si="6"/>
        <v>12.336618745903431</v>
      </c>
      <c r="F39" s="97">
        <f t="shared" si="6"/>
        <v>12.058025487306585</v>
      </c>
      <c r="G39" s="97">
        <f t="shared" si="6"/>
        <v>12.473920266405781</v>
      </c>
      <c r="H39" s="97">
        <f t="shared" si="6"/>
        <v>13.372698006483194</v>
      </c>
      <c r="I39" s="97">
        <f t="shared" si="6"/>
        <v>11.863223931069626</v>
      </c>
      <c r="J39" s="97">
        <f t="shared" si="6"/>
        <v>8.663187848288036</v>
      </c>
      <c r="K39" s="97">
        <f t="shared" si="6"/>
        <v>11.238175493474275</v>
      </c>
      <c r="L39" s="97">
        <f t="shared" si="6"/>
        <v>11.863782358581016</v>
      </c>
      <c r="M39" s="97">
        <f t="shared" si="6"/>
        <v>8.9038027413715444</v>
      </c>
      <c r="N39" s="91">
        <f>SUM(B39:M39)</f>
        <v>135.06343900982137</v>
      </c>
      <c r="O39" s="87">
        <f t="shared" si="0"/>
        <v>11.255286584151781</v>
      </c>
    </row>
    <row r="40" spans="1:15">
      <c r="O40" s="87"/>
    </row>
    <row r="41" spans="1:15">
      <c r="A41" s="71" t="s">
        <v>228</v>
      </c>
      <c r="B41" s="108" t="s">
        <v>48</v>
      </c>
      <c r="C41" s="108" t="s">
        <v>119</v>
      </c>
      <c r="D41" s="108" t="s">
        <v>120</v>
      </c>
      <c r="E41" s="108" t="s">
        <v>121</v>
      </c>
      <c r="F41" s="108" t="s">
        <v>252</v>
      </c>
      <c r="G41" s="108" t="s">
        <v>34</v>
      </c>
      <c r="H41" s="102" t="s">
        <v>26</v>
      </c>
      <c r="I41" s="108" t="s">
        <v>25</v>
      </c>
      <c r="J41" s="108" t="s">
        <v>122</v>
      </c>
      <c r="K41" s="108" t="s">
        <v>123</v>
      </c>
      <c r="L41" s="108" t="s">
        <v>124</v>
      </c>
      <c r="M41" s="109" t="s">
        <v>125</v>
      </c>
      <c r="N41" s="86"/>
      <c r="O41" s="87"/>
    </row>
    <row r="42" spans="1:15">
      <c r="A42" s="71" t="s">
        <v>183</v>
      </c>
      <c r="B42" s="95">
        <v>77147</v>
      </c>
      <c r="C42" s="95">
        <v>31834</v>
      </c>
      <c r="D42" s="95">
        <v>55084</v>
      </c>
      <c r="E42" s="95">
        <v>27776</v>
      </c>
      <c r="F42" s="82">
        <v>44616</v>
      </c>
      <c r="G42" s="82">
        <v>66155</v>
      </c>
      <c r="H42" s="82">
        <v>112030</v>
      </c>
      <c r="I42" s="96">
        <v>38319</v>
      </c>
      <c r="J42" s="84">
        <v>64963</v>
      </c>
      <c r="K42" s="84">
        <v>70231</v>
      </c>
      <c r="L42" s="84">
        <v>48247</v>
      </c>
      <c r="M42" s="85">
        <v>115417</v>
      </c>
      <c r="N42" s="86">
        <f>SUM(B42:M42)</f>
        <v>751819</v>
      </c>
      <c r="O42" s="87">
        <f t="shared" si="0"/>
        <v>62651.583333333336</v>
      </c>
    </row>
    <row r="43" spans="1:15">
      <c r="A43" s="71" t="s">
        <v>49</v>
      </c>
      <c r="B43" s="65">
        <v>827493</v>
      </c>
      <c r="C43" s="65">
        <v>384845</v>
      </c>
      <c r="D43" s="65">
        <v>613643</v>
      </c>
      <c r="E43" s="65">
        <v>447563</v>
      </c>
      <c r="F43" s="61">
        <v>697228</v>
      </c>
      <c r="G43" s="66">
        <v>889452</v>
      </c>
      <c r="H43" s="110">
        <v>900340</v>
      </c>
      <c r="I43" s="61">
        <v>507440</v>
      </c>
      <c r="J43" s="61">
        <v>636212</v>
      </c>
      <c r="K43" s="61">
        <v>877668</v>
      </c>
      <c r="L43" s="61">
        <v>582722</v>
      </c>
      <c r="M43" s="68">
        <v>1554755</v>
      </c>
      <c r="N43" s="86">
        <f>SUM(B43:M43)</f>
        <v>8919361</v>
      </c>
      <c r="O43" s="87">
        <f t="shared" si="0"/>
        <v>743280.08333333337</v>
      </c>
    </row>
    <row r="44" spans="1:15">
      <c r="A44" s="71"/>
      <c r="B44" s="72"/>
      <c r="C44" s="72"/>
      <c r="D44" s="72"/>
      <c r="E44" s="72"/>
      <c r="F44" s="104"/>
      <c r="G44" s="104"/>
      <c r="H44" s="105"/>
      <c r="I44" s="106"/>
      <c r="J44" s="106"/>
      <c r="K44" s="106"/>
      <c r="L44" s="106"/>
      <c r="M44" s="85"/>
      <c r="N44" s="86"/>
      <c r="O44" s="87"/>
    </row>
    <row r="45" spans="1:15">
      <c r="A45" s="71" t="s">
        <v>27</v>
      </c>
      <c r="B45" s="97">
        <f t="shared" ref="B45:M45" si="7">B43/B42</f>
        <v>10.72618507524596</v>
      </c>
      <c r="C45" s="97">
        <f t="shared" si="7"/>
        <v>12.089118552491048</v>
      </c>
      <c r="D45" s="97">
        <f t="shared" si="7"/>
        <v>11.140131435625589</v>
      </c>
      <c r="E45" s="97">
        <f t="shared" si="7"/>
        <v>16.113299251152075</v>
      </c>
      <c r="F45" s="97">
        <f t="shared" si="7"/>
        <v>15.62730858884705</v>
      </c>
      <c r="G45" s="97">
        <f t="shared" si="7"/>
        <v>13.444970145869549</v>
      </c>
      <c r="H45" s="97">
        <f t="shared" si="7"/>
        <v>8.0365973399982149</v>
      </c>
      <c r="I45" s="97">
        <f t="shared" si="7"/>
        <v>13.242516767139017</v>
      </c>
      <c r="J45" s="97">
        <f t="shared" si="7"/>
        <v>9.7934516570971173</v>
      </c>
      <c r="K45" s="97">
        <f t="shared" si="7"/>
        <v>12.496874599535818</v>
      </c>
      <c r="L45" s="97">
        <f t="shared" si="7"/>
        <v>12.077890853317305</v>
      </c>
      <c r="M45" s="97">
        <f t="shared" si="7"/>
        <v>13.470762539313966</v>
      </c>
      <c r="N45" s="91">
        <f>SUM(B45:M45)</f>
        <v>148.25910680563271</v>
      </c>
      <c r="O45" s="87">
        <f t="shared" si="0"/>
        <v>12.354925567136059</v>
      </c>
    </row>
    <row r="46" spans="1:15">
      <c r="O46" s="87"/>
    </row>
    <row r="47" spans="1:15">
      <c r="A47" s="71" t="s">
        <v>315</v>
      </c>
      <c r="B47" s="108" t="s">
        <v>48</v>
      </c>
      <c r="C47" s="108" t="s">
        <v>55</v>
      </c>
      <c r="D47" s="108" t="s">
        <v>56</v>
      </c>
      <c r="E47" s="108" t="s">
        <v>121</v>
      </c>
      <c r="F47" s="108" t="s">
        <v>78</v>
      </c>
      <c r="G47" s="108" t="s">
        <v>34</v>
      </c>
      <c r="H47" s="102" t="s">
        <v>26</v>
      </c>
      <c r="I47" s="108" t="s">
        <v>25</v>
      </c>
      <c r="J47" s="108" t="s">
        <v>122</v>
      </c>
      <c r="K47" s="108" t="s">
        <v>40</v>
      </c>
      <c r="L47" s="108" t="s">
        <v>41</v>
      </c>
      <c r="M47" s="109" t="s">
        <v>125</v>
      </c>
      <c r="N47" s="86"/>
      <c r="O47" s="87"/>
    </row>
    <row r="48" spans="1:15">
      <c r="A48" s="71" t="s">
        <v>183</v>
      </c>
      <c r="B48" s="95">
        <v>96079</v>
      </c>
      <c r="C48" s="95">
        <v>112326</v>
      </c>
      <c r="D48" s="95">
        <v>37416</v>
      </c>
      <c r="E48" s="95">
        <v>70944</v>
      </c>
      <c r="F48" s="82">
        <v>46255</v>
      </c>
      <c r="G48" s="82">
        <v>48276</v>
      </c>
      <c r="H48" s="82">
        <v>56226</v>
      </c>
      <c r="I48" s="96">
        <v>42484</v>
      </c>
      <c r="J48" s="84">
        <v>58133</v>
      </c>
      <c r="K48" s="84">
        <v>44148</v>
      </c>
      <c r="L48" s="84">
        <v>47865</v>
      </c>
      <c r="M48" s="85">
        <v>65680</v>
      </c>
      <c r="N48" s="86">
        <f>SUM(B48:M48)</f>
        <v>725832</v>
      </c>
      <c r="O48" s="87">
        <f t="shared" si="0"/>
        <v>60486</v>
      </c>
    </row>
    <row r="49" spans="1:15">
      <c r="A49" s="71" t="s">
        <v>49</v>
      </c>
      <c r="B49" s="65">
        <v>1421191</v>
      </c>
      <c r="C49" s="65">
        <v>1585161</v>
      </c>
      <c r="D49" s="65">
        <v>417466</v>
      </c>
      <c r="E49" s="65">
        <v>983424</v>
      </c>
      <c r="F49" s="61">
        <v>724595</v>
      </c>
      <c r="G49" s="66">
        <v>740056</v>
      </c>
      <c r="H49" s="110">
        <v>934567</v>
      </c>
      <c r="I49" s="61">
        <v>658991</v>
      </c>
      <c r="J49" s="61">
        <v>913042</v>
      </c>
      <c r="K49" s="61">
        <v>464611</v>
      </c>
      <c r="L49" s="61">
        <v>794319</v>
      </c>
      <c r="M49" s="68">
        <v>880305</v>
      </c>
      <c r="N49" s="86">
        <f>SUM(B49:M49)</f>
        <v>10517728</v>
      </c>
      <c r="O49" s="87">
        <f t="shared" si="0"/>
        <v>876477.33333333337</v>
      </c>
    </row>
    <row r="50" spans="1:15">
      <c r="A50" s="71"/>
      <c r="B50" s="72"/>
      <c r="C50" s="72"/>
      <c r="D50" s="72"/>
      <c r="E50" s="72"/>
      <c r="F50" s="104"/>
      <c r="G50" s="104"/>
      <c r="H50" s="105"/>
      <c r="I50" s="106"/>
      <c r="J50" s="106"/>
      <c r="K50" s="106"/>
      <c r="L50" s="106"/>
      <c r="M50" s="85"/>
      <c r="N50" s="86"/>
      <c r="O50" s="87"/>
    </row>
    <row r="51" spans="1:15">
      <c r="A51" s="71" t="s">
        <v>27</v>
      </c>
      <c r="B51" s="97">
        <f t="shared" ref="B51:M51" si="8">B49/B48</f>
        <v>14.791900415283257</v>
      </c>
      <c r="C51" s="97">
        <f t="shared" si="8"/>
        <v>14.112146787030607</v>
      </c>
      <c r="D51" s="97">
        <f t="shared" si="8"/>
        <v>11.157419285867009</v>
      </c>
      <c r="E51" s="97">
        <f t="shared" si="8"/>
        <v>13.861975642760488</v>
      </c>
      <c r="F51" s="97">
        <f t="shared" si="8"/>
        <v>15.665225381039887</v>
      </c>
      <c r="G51" s="97">
        <f t="shared" si="8"/>
        <v>15.329687629463915</v>
      </c>
      <c r="H51" s="97">
        <f t="shared" si="8"/>
        <v>16.621616334080318</v>
      </c>
      <c r="I51" s="97">
        <f t="shared" si="8"/>
        <v>15.511510215610583</v>
      </c>
      <c r="J51" s="97">
        <f t="shared" si="8"/>
        <v>15.706087764264703</v>
      </c>
      <c r="K51" s="97">
        <f t="shared" si="8"/>
        <v>10.523942194436895</v>
      </c>
      <c r="L51" s="97">
        <f t="shared" si="8"/>
        <v>16.594985897837667</v>
      </c>
      <c r="M51" s="97">
        <f t="shared" si="8"/>
        <v>13.402938489646772</v>
      </c>
      <c r="N51" s="91">
        <f>SUM(B51:M51)</f>
        <v>173.27943603732209</v>
      </c>
      <c r="O51" s="87">
        <f>N51/12</f>
        <v>14.439953003110174</v>
      </c>
    </row>
    <row r="53" spans="1:15">
      <c r="A53" s="71" t="s">
        <v>324</v>
      </c>
      <c r="B53" s="108" t="s">
        <v>48</v>
      </c>
      <c r="C53" s="108" t="s">
        <v>55</v>
      </c>
      <c r="D53" s="108" t="s">
        <v>56</v>
      </c>
      <c r="E53" s="108" t="s">
        <v>121</v>
      </c>
      <c r="F53" s="108" t="s">
        <v>78</v>
      </c>
      <c r="G53" s="108" t="s">
        <v>34</v>
      </c>
      <c r="H53" s="102" t="s">
        <v>26</v>
      </c>
      <c r="I53" s="108" t="s">
        <v>25</v>
      </c>
      <c r="J53" s="108" t="s">
        <v>122</v>
      </c>
      <c r="K53" s="108" t="s">
        <v>40</v>
      </c>
      <c r="L53" s="108" t="s">
        <v>41</v>
      </c>
      <c r="M53" s="109" t="s">
        <v>125</v>
      </c>
      <c r="N53" s="86"/>
      <c r="O53" s="87"/>
    </row>
    <row r="54" spans="1:15">
      <c r="A54" s="71" t="s">
        <v>183</v>
      </c>
      <c r="B54" s="95">
        <v>72745</v>
      </c>
      <c r="C54" s="95">
        <v>72258</v>
      </c>
      <c r="D54" s="95">
        <v>64690</v>
      </c>
      <c r="E54" s="95">
        <v>55769</v>
      </c>
      <c r="F54" s="82">
        <v>74784</v>
      </c>
      <c r="G54" s="82">
        <v>54734</v>
      </c>
      <c r="H54" s="82">
        <v>45729</v>
      </c>
      <c r="I54" s="96">
        <v>64314</v>
      </c>
      <c r="J54" s="84">
        <v>38820</v>
      </c>
      <c r="K54" s="84">
        <v>59214</v>
      </c>
      <c r="L54" s="84">
        <v>75565</v>
      </c>
      <c r="M54" s="85"/>
      <c r="N54" s="86">
        <f>SUM(B54:M54)</f>
        <v>678622</v>
      </c>
      <c r="O54" s="360">
        <f>N54/11</f>
        <v>61692.909090909088</v>
      </c>
    </row>
    <row r="55" spans="1:15">
      <c r="A55" s="71" t="s">
        <v>49</v>
      </c>
      <c r="B55" s="65">
        <v>904699</v>
      </c>
      <c r="C55" s="65">
        <v>856958</v>
      </c>
      <c r="D55" s="65">
        <v>954790</v>
      </c>
      <c r="E55" s="65">
        <v>627548</v>
      </c>
      <c r="F55" s="61">
        <v>1106129</v>
      </c>
      <c r="G55" s="66">
        <v>794315</v>
      </c>
      <c r="H55" s="110">
        <v>599662</v>
      </c>
      <c r="I55" s="61">
        <v>902097</v>
      </c>
      <c r="J55" s="61">
        <v>610335</v>
      </c>
      <c r="K55" s="61">
        <v>895329</v>
      </c>
      <c r="L55" s="61">
        <v>1154132</v>
      </c>
      <c r="M55" s="68"/>
      <c r="N55" s="86">
        <f>SUM(B55:M55)</f>
        <v>9405994</v>
      </c>
      <c r="O55" s="360">
        <f>N55/11</f>
        <v>855090.36363636365</v>
      </c>
    </row>
    <row r="56" spans="1:15">
      <c r="A56" s="71"/>
      <c r="B56" s="72"/>
      <c r="C56" s="72"/>
      <c r="D56" s="72"/>
      <c r="E56" s="72"/>
      <c r="F56" s="104"/>
      <c r="G56" s="104"/>
      <c r="H56" s="105"/>
      <c r="I56" s="106"/>
      <c r="J56" s="106"/>
      <c r="K56" s="106"/>
      <c r="L56" s="106"/>
      <c r="M56" s="85"/>
      <c r="N56" s="86"/>
      <c r="O56" s="360"/>
    </row>
    <row r="57" spans="1:15">
      <c r="A57" s="71" t="s">
        <v>27</v>
      </c>
      <c r="B57" s="97">
        <f t="shared" ref="B57:M57" si="9">B55/B54</f>
        <v>12.436579833665544</v>
      </c>
      <c r="C57" s="97">
        <f t="shared" si="9"/>
        <v>11.85969719615821</v>
      </c>
      <c r="D57" s="97">
        <f t="shared" si="9"/>
        <v>14.759468233111765</v>
      </c>
      <c r="E57" s="97">
        <f t="shared" si="9"/>
        <v>11.252631390198855</v>
      </c>
      <c r="F57" s="97">
        <f t="shared" si="9"/>
        <v>14.790984702610183</v>
      </c>
      <c r="G57" s="97">
        <f t="shared" si="9"/>
        <v>14.512277560565645</v>
      </c>
      <c r="H57" s="97">
        <f t="shared" si="9"/>
        <v>13.113385379081109</v>
      </c>
      <c r="I57" s="97">
        <f t="shared" si="9"/>
        <v>14.026448362720403</v>
      </c>
      <c r="J57" s="97">
        <f t="shared" si="9"/>
        <v>15.722179289026275</v>
      </c>
      <c r="K57" s="97">
        <f t="shared" si="9"/>
        <v>15.120224946803122</v>
      </c>
      <c r="L57" s="97">
        <f t="shared" si="9"/>
        <v>15.273367299675776</v>
      </c>
      <c r="M57" s="97" t="e">
        <f t="shared" si="9"/>
        <v>#DIV/0!</v>
      </c>
      <c r="N57" s="91">
        <f>SUM(B57:G57)</f>
        <v>79.611638916310213</v>
      </c>
      <c r="O57" s="360">
        <f t="shared" ref="O55:O57" si="10">N57/10</f>
        <v>7.9611638916310214</v>
      </c>
    </row>
  </sheetData>
  <mergeCells count="1">
    <mergeCell ref="A1:XFD9"/>
  </mergeCells>
  <phoneticPr fontId="3" type="noConversion"/>
  <pageMargins left="0.16" right="0.16" top="0.75" bottom="0.75" header="0.5" footer="0.5"/>
  <pageSetup paperSize="9" orientation="landscape" horizontalDpi="4294967292" verticalDpi="429496729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O33"/>
  <sheetViews>
    <sheetView topLeftCell="A9" workbookViewId="0">
      <selection activeCell="O34" sqref="O34"/>
    </sheetView>
  </sheetViews>
  <sheetFormatPr defaultColWidth="11.140625" defaultRowHeight="12.75"/>
  <cols>
    <col min="1" max="1" width="8.85546875" style="1" customWidth="1"/>
    <col min="2" max="2" width="7.42578125" style="1" customWidth="1"/>
    <col min="3" max="3" width="8.140625" style="1" customWidth="1"/>
    <col min="4" max="8" width="7.42578125" style="1" customWidth="1"/>
    <col min="9" max="9" width="9.140625" style="1" customWidth="1"/>
    <col min="10" max="10" width="7.42578125" style="1" customWidth="1"/>
    <col min="11" max="11" width="8.28515625" style="1" customWidth="1"/>
    <col min="12" max="13" width="7.42578125" style="1" customWidth="1"/>
    <col min="14" max="14" width="8.85546875" style="1" customWidth="1"/>
    <col min="15" max="15" width="9.85546875" style="1" customWidth="1"/>
    <col min="16" max="18" width="8.85546875" customWidth="1"/>
  </cols>
  <sheetData>
    <row r="1" spans="1:15" s="370" customFormat="1"/>
    <row r="2" spans="1:15" s="370" customFormat="1"/>
    <row r="3" spans="1:15" s="370" customFormat="1"/>
    <row r="4" spans="1:15" s="370" customFormat="1"/>
    <row r="5" spans="1:15" s="370" customFormat="1"/>
    <row r="6" spans="1:15" s="370" customFormat="1"/>
    <row r="7" spans="1:15" s="370" customFormat="1"/>
    <row r="8" spans="1:15" s="370" customFormat="1"/>
    <row r="9" spans="1:15" s="370" customFormat="1"/>
    <row r="11" spans="1:15">
      <c r="A11" s="3" t="s">
        <v>255</v>
      </c>
      <c r="B11" s="4" t="s">
        <v>182</v>
      </c>
      <c r="C11" s="4" t="s">
        <v>9</v>
      </c>
      <c r="D11" s="4" t="s">
        <v>21</v>
      </c>
      <c r="E11" s="4" t="s">
        <v>10</v>
      </c>
      <c r="F11" s="4" t="s">
        <v>11</v>
      </c>
      <c r="G11" s="4" t="s">
        <v>22</v>
      </c>
      <c r="H11" s="31" t="s">
        <v>264</v>
      </c>
      <c r="I11" s="4" t="s">
        <v>265</v>
      </c>
      <c r="J11" s="4" t="s">
        <v>217</v>
      </c>
      <c r="K11" s="4" t="s">
        <v>280</v>
      </c>
      <c r="L11" s="4" t="s">
        <v>180</v>
      </c>
      <c r="M11" s="19" t="s">
        <v>181</v>
      </c>
      <c r="N11" s="41" t="s">
        <v>201</v>
      </c>
      <c r="O11" s="41" t="s">
        <v>202</v>
      </c>
    </row>
    <row r="12" spans="1:15">
      <c r="A12" s="3" t="s">
        <v>13</v>
      </c>
      <c r="B12" s="14">
        <v>500455</v>
      </c>
      <c r="C12" s="14">
        <v>398218</v>
      </c>
      <c r="D12" s="14">
        <v>551883</v>
      </c>
      <c r="E12" s="14">
        <v>386452</v>
      </c>
      <c r="F12" s="25">
        <v>224346</v>
      </c>
      <c r="G12" s="25">
        <v>155637</v>
      </c>
      <c r="H12" s="29">
        <v>736322</v>
      </c>
      <c r="I12" s="25">
        <v>386596</v>
      </c>
      <c r="J12" s="25">
        <v>706804</v>
      </c>
      <c r="K12" s="25">
        <v>693369</v>
      </c>
      <c r="L12" s="25">
        <v>755616</v>
      </c>
      <c r="M12" s="32">
        <v>454640</v>
      </c>
      <c r="N12" s="25">
        <f>SUM(B12:M12)</f>
        <v>5950338</v>
      </c>
      <c r="O12" s="40">
        <f>N12/12</f>
        <v>495861.5</v>
      </c>
    </row>
    <row r="13" spans="1:15">
      <c r="A13" s="35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7"/>
      <c r="N13" s="25"/>
      <c r="O13" s="40"/>
    </row>
    <row r="14" spans="1:15">
      <c r="A14" s="3" t="s">
        <v>284</v>
      </c>
      <c r="B14" s="17" t="s">
        <v>182</v>
      </c>
      <c r="C14" s="17" t="s">
        <v>9</v>
      </c>
      <c r="D14" s="17" t="s">
        <v>21</v>
      </c>
      <c r="E14" s="17" t="s">
        <v>10</v>
      </c>
      <c r="F14" s="17" t="s">
        <v>11</v>
      </c>
      <c r="G14" s="17" t="s">
        <v>22</v>
      </c>
      <c r="H14" s="39" t="s">
        <v>264</v>
      </c>
      <c r="I14" s="17" t="s">
        <v>265</v>
      </c>
      <c r="J14" s="17" t="s">
        <v>217</v>
      </c>
      <c r="K14" s="17" t="s">
        <v>280</v>
      </c>
      <c r="L14" s="17" t="s">
        <v>180</v>
      </c>
      <c r="M14" s="20" t="s">
        <v>181</v>
      </c>
      <c r="N14" s="25"/>
      <c r="O14" s="40"/>
    </row>
    <row r="15" spans="1:15">
      <c r="A15" s="3" t="s">
        <v>13</v>
      </c>
      <c r="B15" s="14">
        <v>626526</v>
      </c>
      <c r="C15" s="14">
        <v>549300</v>
      </c>
      <c r="D15" s="14">
        <v>664183</v>
      </c>
      <c r="E15" s="14">
        <v>244463</v>
      </c>
      <c r="F15" s="25">
        <v>152297</v>
      </c>
      <c r="G15" s="25">
        <v>310608</v>
      </c>
      <c r="H15" s="29">
        <v>660898</v>
      </c>
      <c r="I15" s="25">
        <v>428935</v>
      </c>
      <c r="J15" s="25">
        <v>690175</v>
      </c>
      <c r="K15" s="25">
        <v>678976</v>
      </c>
      <c r="L15" s="25">
        <v>937875</v>
      </c>
      <c r="M15" s="32">
        <v>457485</v>
      </c>
      <c r="N15" s="25">
        <f>SUM(B15:M15)</f>
        <v>6401721</v>
      </c>
      <c r="O15" s="40">
        <f>N15/12</f>
        <v>533476.75</v>
      </c>
    </row>
    <row r="16" spans="1:15">
      <c r="A16" s="35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7"/>
      <c r="N16" s="25"/>
      <c r="O16" s="40"/>
    </row>
    <row r="17" spans="1:15">
      <c r="A17" s="3" t="s">
        <v>253</v>
      </c>
      <c r="B17" s="17" t="s">
        <v>182</v>
      </c>
      <c r="C17" s="17" t="s">
        <v>9</v>
      </c>
      <c r="D17" s="17" t="s">
        <v>21</v>
      </c>
      <c r="E17" s="17" t="s">
        <v>10</v>
      </c>
      <c r="F17" s="17" t="s">
        <v>11</v>
      </c>
      <c r="G17" s="17" t="s">
        <v>22</v>
      </c>
      <c r="H17" s="39" t="s">
        <v>264</v>
      </c>
      <c r="I17" s="17" t="s">
        <v>265</v>
      </c>
      <c r="J17" s="17" t="s">
        <v>217</v>
      </c>
      <c r="K17" s="17" t="s">
        <v>280</v>
      </c>
      <c r="L17" s="17" t="s">
        <v>180</v>
      </c>
      <c r="M17" s="20" t="s">
        <v>181</v>
      </c>
      <c r="N17" s="25"/>
      <c r="O17" s="40"/>
    </row>
    <row r="18" spans="1:15">
      <c r="A18" s="3" t="s">
        <v>13</v>
      </c>
      <c r="B18" s="14">
        <v>585740</v>
      </c>
      <c r="C18" s="14">
        <v>423465</v>
      </c>
      <c r="D18" s="14">
        <v>441361</v>
      </c>
      <c r="E18" s="14">
        <v>790777</v>
      </c>
      <c r="F18" s="25">
        <v>435823</v>
      </c>
      <c r="G18" s="25">
        <v>696545</v>
      </c>
      <c r="H18" s="29">
        <v>932333</v>
      </c>
      <c r="I18" s="25">
        <v>1287491</v>
      </c>
      <c r="J18" s="25">
        <v>770415</v>
      </c>
      <c r="K18" s="25">
        <v>618811</v>
      </c>
      <c r="L18" s="25">
        <v>951953</v>
      </c>
      <c r="M18" s="32">
        <v>788224</v>
      </c>
      <c r="N18" s="25">
        <f>SUM(B18:M18)</f>
        <v>8722938</v>
      </c>
      <c r="O18" s="40">
        <f>N18/12</f>
        <v>726911.5</v>
      </c>
    </row>
    <row r="19" spans="1:15">
      <c r="A19" s="35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7"/>
      <c r="N19" s="25"/>
      <c r="O19" s="40"/>
    </row>
    <row r="20" spans="1:15">
      <c r="A20" s="5" t="s">
        <v>274</v>
      </c>
      <c r="B20" s="18" t="s">
        <v>275</v>
      </c>
      <c r="C20" s="18" t="s">
        <v>276</v>
      </c>
      <c r="D20" s="18" t="s">
        <v>277</v>
      </c>
      <c r="E20" s="18" t="s">
        <v>278</v>
      </c>
      <c r="F20" s="18" t="s">
        <v>257</v>
      </c>
      <c r="G20" s="18" t="s">
        <v>258</v>
      </c>
      <c r="H20" s="39" t="s">
        <v>203</v>
      </c>
      <c r="I20" s="18" t="s">
        <v>204</v>
      </c>
      <c r="J20" s="18" t="s">
        <v>205</v>
      </c>
      <c r="K20" s="18" t="s">
        <v>40</v>
      </c>
      <c r="L20" s="18" t="s">
        <v>41</v>
      </c>
      <c r="M20" s="21" t="s">
        <v>260</v>
      </c>
      <c r="N20" s="25"/>
      <c r="O20" s="40"/>
    </row>
    <row r="21" spans="1:15">
      <c r="A21" s="5" t="s">
        <v>261</v>
      </c>
      <c r="B21" s="16">
        <v>486705</v>
      </c>
      <c r="C21" s="16">
        <v>401595</v>
      </c>
      <c r="D21" s="16">
        <v>428098</v>
      </c>
      <c r="E21" s="16">
        <v>267397.76000000001</v>
      </c>
      <c r="F21" s="25">
        <v>646675</v>
      </c>
      <c r="G21" s="25">
        <v>324840</v>
      </c>
      <c r="H21" s="25">
        <v>510777.46</v>
      </c>
      <c r="I21" s="25">
        <v>789239.07</v>
      </c>
      <c r="J21" s="25">
        <v>795096.09</v>
      </c>
      <c r="K21" s="25">
        <v>1010766</v>
      </c>
      <c r="L21" s="25">
        <v>532788</v>
      </c>
      <c r="M21" s="32">
        <v>615264</v>
      </c>
      <c r="N21" s="25">
        <f>SUM(B21:M21)</f>
        <v>6809241.3799999999</v>
      </c>
      <c r="O21" s="40">
        <f>N21/12</f>
        <v>567436.78166666662</v>
      </c>
    </row>
    <row r="22" spans="1:15">
      <c r="N22" s="45"/>
      <c r="O22" s="40"/>
    </row>
    <row r="23" spans="1:15">
      <c r="A23" s="5" t="s">
        <v>82</v>
      </c>
      <c r="B23" s="18" t="s">
        <v>275</v>
      </c>
      <c r="C23" s="18" t="s">
        <v>276</v>
      </c>
      <c r="D23" s="18" t="s">
        <v>277</v>
      </c>
      <c r="E23" s="18" t="s">
        <v>278</v>
      </c>
      <c r="F23" s="18" t="s">
        <v>257</v>
      </c>
      <c r="G23" s="18" t="s">
        <v>258</v>
      </c>
      <c r="H23" s="39" t="s">
        <v>203</v>
      </c>
      <c r="I23" s="18" t="s">
        <v>204</v>
      </c>
      <c r="J23" s="18" t="s">
        <v>205</v>
      </c>
      <c r="K23" s="18" t="s">
        <v>40</v>
      </c>
      <c r="L23" s="18" t="s">
        <v>41</v>
      </c>
      <c r="M23" s="21" t="s">
        <v>260</v>
      </c>
      <c r="N23" s="25"/>
      <c r="O23" s="40"/>
    </row>
    <row r="24" spans="1:15">
      <c r="A24" s="5" t="s">
        <v>261</v>
      </c>
      <c r="B24" s="16">
        <v>489378</v>
      </c>
      <c r="C24" s="16">
        <v>1035417</v>
      </c>
      <c r="D24" s="16">
        <f>'[7]U4001381.csv'!$E$30</f>
        <v>643661.07999999996</v>
      </c>
      <c r="E24" s="16">
        <f>'[8]V9501381.csv'!$E$30</f>
        <v>319601.61</v>
      </c>
      <c r="F24" s="25">
        <v>371876.43</v>
      </c>
      <c r="G24" s="25">
        <f>'[9]A9101381.csv'!$E$30</f>
        <v>390144.96</v>
      </c>
      <c r="H24" s="25">
        <f>'[5]C9901381.csv'!$E$17</f>
        <v>616551.62</v>
      </c>
      <c r="I24" s="25">
        <f>'[5]C9901381.csv'!$E$31</f>
        <v>921842.04</v>
      </c>
      <c r="J24" s="25">
        <v>731307</v>
      </c>
      <c r="K24" s="25">
        <v>653012</v>
      </c>
      <c r="L24" s="25">
        <v>691433</v>
      </c>
      <c r="M24" s="32">
        <f>'[6]F6401381.csv'!$E$32</f>
        <v>796757.93</v>
      </c>
      <c r="N24" s="25">
        <f>SUM(B24:M24)</f>
        <v>7660982.6699999999</v>
      </c>
      <c r="O24" s="40">
        <f>N24/12</f>
        <v>638415.22250000003</v>
      </c>
    </row>
    <row r="25" spans="1:15">
      <c r="O25" s="40"/>
    </row>
    <row r="26" spans="1:15">
      <c r="A26" s="5" t="s">
        <v>228</v>
      </c>
      <c r="B26" s="18" t="s">
        <v>48</v>
      </c>
      <c r="C26" s="18" t="s">
        <v>119</v>
      </c>
      <c r="D26" s="18" t="s">
        <v>120</v>
      </c>
      <c r="E26" s="18" t="s">
        <v>121</v>
      </c>
      <c r="F26" s="18" t="s">
        <v>252</v>
      </c>
      <c r="G26" s="18" t="s">
        <v>34</v>
      </c>
      <c r="H26" s="39" t="s">
        <v>26</v>
      </c>
      <c r="I26" s="18" t="s">
        <v>25</v>
      </c>
      <c r="J26" s="18" t="s">
        <v>122</v>
      </c>
      <c r="K26" s="18" t="s">
        <v>123</v>
      </c>
      <c r="L26" s="18" t="s">
        <v>124</v>
      </c>
      <c r="M26" s="21" t="s">
        <v>125</v>
      </c>
      <c r="N26" s="25"/>
      <c r="O26" s="40"/>
    </row>
    <row r="27" spans="1:15">
      <c r="A27" s="5" t="s">
        <v>49</v>
      </c>
      <c r="B27" s="16">
        <v>488491</v>
      </c>
      <c r="C27" s="16">
        <v>480284.72</v>
      </c>
      <c r="D27" s="16">
        <v>194803</v>
      </c>
      <c r="E27" s="16">
        <v>645491</v>
      </c>
      <c r="F27" s="25">
        <v>340365</v>
      </c>
      <c r="G27" s="25">
        <v>220553</v>
      </c>
      <c r="H27" s="25">
        <v>389849</v>
      </c>
      <c r="I27" s="25">
        <v>693442</v>
      </c>
      <c r="J27" s="25">
        <v>628217</v>
      </c>
      <c r="K27" s="25">
        <v>868380</v>
      </c>
      <c r="L27" s="25">
        <v>403324</v>
      </c>
      <c r="M27" s="32">
        <v>421496</v>
      </c>
      <c r="N27" s="25">
        <f>SUM(B27:M27)</f>
        <v>5774695.7199999997</v>
      </c>
      <c r="O27" s="40">
        <f>N27/12</f>
        <v>481224.64333333331</v>
      </c>
    </row>
    <row r="28" spans="1:15">
      <c r="O28" s="40"/>
    </row>
    <row r="29" spans="1:15">
      <c r="A29" s="5" t="s">
        <v>315</v>
      </c>
      <c r="B29" s="18" t="s">
        <v>48</v>
      </c>
      <c r="C29" s="18" t="s">
        <v>55</v>
      </c>
      <c r="D29" s="18" t="s">
        <v>56</v>
      </c>
      <c r="E29" s="18" t="s">
        <v>121</v>
      </c>
      <c r="F29" s="18" t="s">
        <v>78</v>
      </c>
      <c r="G29" s="18" t="s">
        <v>34</v>
      </c>
      <c r="H29" s="39" t="s">
        <v>26</v>
      </c>
      <c r="I29" s="18" t="s">
        <v>25</v>
      </c>
      <c r="J29" s="18" t="s">
        <v>122</v>
      </c>
      <c r="K29" s="18" t="s">
        <v>40</v>
      </c>
      <c r="L29" s="18" t="s">
        <v>41</v>
      </c>
      <c r="M29" s="21" t="s">
        <v>125</v>
      </c>
      <c r="N29" s="25"/>
      <c r="O29" s="40"/>
    </row>
    <row r="30" spans="1:15">
      <c r="A30" s="5" t="s">
        <v>49</v>
      </c>
      <c r="B30" s="16">
        <v>758915</v>
      </c>
      <c r="C30" s="16">
        <v>735181</v>
      </c>
      <c r="D30" s="16">
        <v>318470</v>
      </c>
      <c r="E30" s="16">
        <v>547778</v>
      </c>
      <c r="F30" s="25">
        <v>369060</v>
      </c>
      <c r="G30" s="25">
        <v>392127</v>
      </c>
      <c r="H30" s="25">
        <v>600364</v>
      </c>
      <c r="I30" s="25">
        <v>1004812</v>
      </c>
      <c r="J30" s="25">
        <v>613034</v>
      </c>
      <c r="K30" s="25">
        <v>576172</v>
      </c>
      <c r="L30" s="25">
        <v>853249</v>
      </c>
      <c r="M30" s="32">
        <v>500473</v>
      </c>
      <c r="N30" s="25">
        <f>SUM(B30:M30)</f>
        <v>7269635</v>
      </c>
      <c r="O30" s="40">
        <f>N30/12</f>
        <v>605802.91666666663</v>
      </c>
    </row>
    <row r="32" spans="1:15">
      <c r="A32" s="5" t="s">
        <v>315</v>
      </c>
      <c r="B32" s="18" t="s">
        <v>48</v>
      </c>
      <c r="C32" s="18" t="s">
        <v>55</v>
      </c>
      <c r="D32" s="18" t="s">
        <v>56</v>
      </c>
      <c r="E32" s="18" t="s">
        <v>121</v>
      </c>
      <c r="F32" s="18" t="s">
        <v>78</v>
      </c>
      <c r="G32" s="18" t="s">
        <v>34</v>
      </c>
      <c r="H32" s="39" t="s">
        <v>26</v>
      </c>
      <c r="I32" s="18" t="s">
        <v>25</v>
      </c>
      <c r="J32" s="18" t="s">
        <v>122</v>
      </c>
      <c r="K32" s="18" t="s">
        <v>40</v>
      </c>
      <c r="L32" s="18" t="s">
        <v>41</v>
      </c>
      <c r="M32" s="21" t="s">
        <v>125</v>
      </c>
      <c r="N32" s="25"/>
      <c r="O32" s="40"/>
    </row>
    <row r="33" spans="1:15">
      <c r="A33" s="5" t="s">
        <v>49</v>
      </c>
      <c r="B33" s="16">
        <v>786015</v>
      </c>
      <c r="C33" s="16">
        <v>632813</v>
      </c>
      <c r="D33" s="16">
        <v>579016</v>
      </c>
      <c r="E33" s="16">
        <v>330209</v>
      </c>
      <c r="F33" s="25">
        <v>568520</v>
      </c>
      <c r="G33" s="25">
        <v>347111</v>
      </c>
      <c r="H33" s="25">
        <v>494303</v>
      </c>
      <c r="I33" s="25">
        <v>398433</v>
      </c>
      <c r="J33" s="25">
        <v>890495</v>
      </c>
      <c r="K33" s="25">
        <v>613973</v>
      </c>
      <c r="L33" s="25">
        <v>603221</v>
      </c>
      <c r="M33" s="32"/>
      <c r="N33" s="25">
        <f>SUM(B33:M33)</f>
        <v>6244109</v>
      </c>
      <c r="O33" s="40">
        <f>N33/11</f>
        <v>567646.27272727271</v>
      </c>
    </row>
  </sheetData>
  <mergeCells count="1">
    <mergeCell ref="A1:XFD9"/>
  </mergeCells>
  <phoneticPr fontId="3" type="noConversion"/>
  <pageMargins left="0.15944881889763785" right="0.15944881889763785" top="0.75" bottom="0.75" header="0.5" footer="0.5"/>
  <pageSetup paperSize="9" orientation="landscape" horizontalDpi="4294967292" verticalDpi="429496729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O59"/>
  <sheetViews>
    <sheetView topLeftCell="A44" workbookViewId="0">
      <selection activeCell="N59" sqref="N59"/>
    </sheetView>
  </sheetViews>
  <sheetFormatPr defaultColWidth="10.85546875" defaultRowHeight="11.25"/>
  <cols>
    <col min="1" max="1" width="10.85546875" style="58"/>
    <col min="2" max="5" width="9.28515625" style="58" customWidth="1"/>
    <col min="6" max="12" width="8.42578125" style="58" customWidth="1"/>
    <col min="13" max="13" width="8.28515625" style="58" customWidth="1"/>
    <col min="14" max="14" width="9.85546875" style="58" customWidth="1"/>
    <col min="15" max="15" width="9.7109375" style="58" customWidth="1"/>
    <col min="16" max="16384" width="10.85546875" style="58"/>
  </cols>
  <sheetData>
    <row r="1" spans="1:15">
      <c r="A1" s="369"/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</row>
    <row r="2" spans="1:15">
      <c r="A2" s="369"/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</row>
    <row r="3" spans="1:15">
      <c r="A3" s="369"/>
      <c r="B3" s="369"/>
      <c r="C3" s="369"/>
      <c r="D3" s="369"/>
      <c r="E3" s="369"/>
      <c r="F3" s="369"/>
      <c r="G3" s="369"/>
      <c r="H3" s="369"/>
      <c r="I3" s="369"/>
      <c r="J3" s="369"/>
      <c r="K3" s="369"/>
      <c r="L3" s="369"/>
      <c r="M3" s="369"/>
      <c r="N3" s="369"/>
      <c r="O3" s="369"/>
    </row>
    <row r="4" spans="1:15">
      <c r="A4" s="369"/>
      <c r="B4" s="369"/>
      <c r="C4" s="369"/>
      <c r="D4" s="369"/>
      <c r="E4" s="369"/>
      <c r="F4" s="369"/>
      <c r="G4" s="369"/>
      <c r="H4" s="369"/>
      <c r="I4" s="369"/>
      <c r="J4" s="369"/>
      <c r="K4" s="369"/>
      <c r="L4" s="369"/>
      <c r="M4" s="369"/>
      <c r="N4" s="369"/>
      <c r="O4" s="369"/>
    </row>
    <row r="5" spans="1:15">
      <c r="A5" s="369"/>
      <c r="B5" s="369"/>
      <c r="C5" s="369"/>
      <c r="D5" s="369"/>
      <c r="E5" s="369"/>
      <c r="F5" s="369"/>
      <c r="G5" s="369"/>
      <c r="H5" s="369"/>
      <c r="I5" s="369"/>
      <c r="J5" s="369"/>
      <c r="K5" s="369"/>
      <c r="L5" s="369"/>
      <c r="M5" s="369"/>
      <c r="N5" s="369"/>
      <c r="O5" s="369"/>
    </row>
    <row r="6" spans="1:15">
      <c r="A6" s="369"/>
      <c r="B6" s="369"/>
      <c r="C6" s="369"/>
      <c r="D6" s="369"/>
      <c r="E6" s="369"/>
      <c r="F6" s="369"/>
      <c r="G6" s="369"/>
      <c r="H6" s="369"/>
      <c r="I6" s="369"/>
      <c r="J6" s="369"/>
      <c r="K6" s="369"/>
      <c r="L6" s="369"/>
      <c r="M6" s="369"/>
      <c r="N6" s="369"/>
      <c r="O6" s="369"/>
    </row>
    <row r="7" spans="1:15">
      <c r="A7" s="369"/>
      <c r="B7" s="369"/>
      <c r="C7" s="369"/>
      <c r="D7" s="369"/>
      <c r="E7" s="369"/>
      <c r="F7" s="369"/>
      <c r="G7" s="369"/>
      <c r="H7" s="369"/>
      <c r="I7" s="369"/>
      <c r="J7" s="369"/>
      <c r="K7" s="369"/>
      <c r="L7" s="369"/>
      <c r="M7" s="369"/>
      <c r="N7" s="369"/>
      <c r="O7" s="369"/>
    </row>
    <row r="8" spans="1:15">
      <c r="A8" s="369"/>
      <c r="B8" s="369"/>
      <c r="C8" s="369"/>
      <c r="D8" s="369"/>
      <c r="E8" s="369"/>
      <c r="F8" s="369"/>
      <c r="G8" s="369"/>
      <c r="H8" s="369"/>
      <c r="I8" s="369"/>
      <c r="J8" s="369"/>
      <c r="K8" s="369"/>
      <c r="L8" s="369"/>
      <c r="M8" s="369"/>
      <c r="N8" s="369"/>
      <c r="O8" s="369"/>
    </row>
    <row r="9" spans="1:15">
      <c r="A9" s="369"/>
      <c r="B9" s="369"/>
      <c r="C9" s="369"/>
      <c r="D9" s="369"/>
      <c r="E9" s="369"/>
      <c r="F9" s="369"/>
      <c r="G9" s="369"/>
      <c r="H9" s="369"/>
      <c r="I9" s="369"/>
      <c r="J9" s="369"/>
      <c r="K9" s="369"/>
      <c r="L9" s="369"/>
      <c r="M9" s="369"/>
      <c r="N9" s="369"/>
      <c r="O9" s="369"/>
    </row>
    <row r="10" spans="1:15">
      <c r="A10" s="369"/>
      <c r="B10" s="369"/>
      <c r="C10" s="369"/>
      <c r="D10" s="369"/>
      <c r="E10" s="369"/>
      <c r="F10" s="369"/>
      <c r="G10" s="369"/>
      <c r="H10" s="369"/>
      <c r="I10" s="369"/>
      <c r="J10" s="369"/>
      <c r="K10" s="369"/>
      <c r="L10" s="369"/>
      <c r="M10" s="369"/>
      <c r="N10" s="369"/>
      <c r="O10" s="369"/>
    </row>
    <row r="11" spans="1:15">
      <c r="A11" s="369"/>
      <c r="B11" s="369"/>
      <c r="C11" s="369"/>
      <c r="D11" s="369"/>
      <c r="E11" s="369"/>
      <c r="F11" s="369"/>
      <c r="G11" s="369"/>
      <c r="H11" s="369"/>
      <c r="I11" s="369"/>
      <c r="J11" s="369"/>
      <c r="K11" s="369"/>
      <c r="L11" s="369"/>
      <c r="M11" s="369"/>
      <c r="N11" s="369"/>
      <c r="O11" s="369"/>
    </row>
    <row r="13" spans="1:15">
      <c r="A13" s="75" t="s">
        <v>255</v>
      </c>
      <c r="B13" s="76" t="s">
        <v>182</v>
      </c>
      <c r="C13" s="76" t="s">
        <v>9</v>
      </c>
      <c r="D13" s="76" t="s">
        <v>21</v>
      </c>
      <c r="E13" s="76" t="s">
        <v>10</v>
      </c>
      <c r="F13" s="76" t="s">
        <v>11</v>
      </c>
      <c r="G13" s="76" t="s">
        <v>22</v>
      </c>
      <c r="H13" s="77" t="s">
        <v>264</v>
      </c>
      <c r="I13" s="76" t="s">
        <v>265</v>
      </c>
      <c r="J13" s="76" t="s">
        <v>217</v>
      </c>
      <c r="K13" s="76" t="s">
        <v>280</v>
      </c>
      <c r="L13" s="76" t="s">
        <v>180</v>
      </c>
      <c r="M13" s="76" t="s">
        <v>181</v>
      </c>
      <c r="N13" s="111" t="s">
        <v>201</v>
      </c>
      <c r="O13" s="111" t="s">
        <v>202</v>
      </c>
    </row>
    <row r="14" spans="1:15">
      <c r="A14" s="75" t="s">
        <v>12</v>
      </c>
      <c r="B14" s="81">
        <v>1443</v>
      </c>
      <c r="C14" s="81">
        <v>933</v>
      </c>
      <c r="D14" s="81">
        <v>1549</v>
      </c>
      <c r="E14" s="81">
        <v>3830</v>
      </c>
      <c r="F14" s="82">
        <v>2205</v>
      </c>
      <c r="G14" s="82">
        <v>1242</v>
      </c>
      <c r="H14" s="83">
        <v>1540</v>
      </c>
      <c r="I14" s="84">
        <v>1825</v>
      </c>
      <c r="J14" s="84">
        <v>1261</v>
      </c>
      <c r="K14" s="84">
        <v>1903</v>
      </c>
      <c r="L14" s="84">
        <v>2090</v>
      </c>
      <c r="M14" s="84">
        <v>980</v>
      </c>
      <c r="N14" s="82">
        <f>SUM(B14:M14)</f>
        <v>20801</v>
      </c>
      <c r="O14" s="112">
        <f t="shared" ref="O14:O51" si="0">N14/12</f>
        <v>1733.4166666666667</v>
      </c>
    </row>
    <row r="15" spans="1:15">
      <c r="A15" s="75" t="s">
        <v>13</v>
      </c>
      <c r="B15" s="60">
        <v>841625</v>
      </c>
      <c r="C15" s="60">
        <v>415878</v>
      </c>
      <c r="D15" s="60">
        <v>741408</v>
      </c>
      <c r="E15" s="60">
        <v>1021667</v>
      </c>
      <c r="F15" s="61">
        <v>1237862</v>
      </c>
      <c r="G15" s="61">
        <v>881604</v>
      </c>
      <c r="H15" s="66">
        <v>1452273</v>
      </c>
      <c r="I15" s="61">
        <v>1060252</v>
      </c>
      <c r="J15" s="61">
        <v>831492</v>
      </c>
      <c r="K15" s="61">
        <v>886015</v>
      </c>
      <c r="L15" s="61">
        <v>1166017</v>
      </c>
      <c r="M15" s="61">
        <v>667498</v>
      </c>
      <c r="N15" s="61">
        <f>SUM(B15:M15)</f>
        <v>11203591</v>
      </c>
      <c r="O15" s="113">
        <f t="shared" si="0"/>
        <v>933632.58333333337</v>
      </c>
    </row>
    <row r="16" spans="1:15">
      <c r="A16" s="75"/>
      <c r="B16" s="114"/>
      <c r="C16" s="114"/>
      <c r="D16" s="114"/>
      <c r="E16" s="114"/>
      <c r="F16" s="115"/>
      <c r="G16" s="115"/>
      <c r="H16" s="116"/>
      <c r="I16" s="115"/>
      <c r="J16" s="115"/>
      <c r="K16" s="115"/>
      <c r="L16" s="115"/>
      <c r="M16" s="115"/>
      <c r="N16" s="117"/>
      <c r="O16" s="112"/>
    </row>
    <row r="17" spans="1:15">
      <c r="A17" s="75" t="s">
        <v>283</v>
      </c>
      <c r="B17" s="118">
        <f>B15/B14</f>
        <v>583.24670824670829</v>
      </c>
      <c r="C17" s="118">
        <f t="shared" ref="C17:M17" si="1">C15/C14</f>
        <v>445.74276527331187</v>
      </c>
      <c r="D17" s="118">
        <f t="shared" si="1"/>
        <v>478.6365397030342</v>
      </c>
      <c r="E17" s="118">
        <f t="shared" si="1"/>
        <v>266.75378590078327</v>
      </c>
      <c r="F17" s="118">
        <f t="shared" si="1"/>
        <v>561.38866213151925</v>
      </c>
      <c r="G17" s="118">
        <f t="shared" si="1"/>
        <v>709.82608695652175</v>
      </c>
      <c r="H17" s="118">
        <f>H15/H14</f>
        <v>943.03441558441557</v>
      </c>
      <c r="I17" s="118">
        <f t="shared" si="1"/>
        <v>580.96</v>
      </c>
      <c r="J17" s="118">
        <f t="shared" si="1"/>
        <v>659.39095955590801</v>
      </c>
      <c r="K17" s="118">
        <f t="shared" si="1"/>
        <v>465.58854440357328</v>
      </c>
      <c r="L17" s="118">
        <f t="shared" si="1"/>
        <v>557.90287081339716</v>
      </c>
      <c r="M17" s="118">
        <f t="shared" si="1"/>
        <v>681.12040816326532</v>
      </c>
      <c r="N17" s="118">
        <f t="shared" ref="N17:N35" si="2">SUM(B17:M17)</f>
        <v>6933.5917467324371</v>
      </c>
      <c r="O17" s="112">
        <f t="shared" si="0"/>
        <v>577.79931222770313</v>
      </c>
    </row>
    <row r="18" spans="1:15">
      <c r="A18" s="106"/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82"/>
      <c r="O18" s="112"/>
    </row>
    <row r="19" spans="1:15">
      <c r="A19" s="75" t="s">
        <v>284</v>
      </c>
      <c r="B19" s="76" t="s">
        <v>182</v>
      </c>
      <c r="C19" s="76" t="s">
        <v>9</v>
      </c>
      <c r="D19" s="76" t="s">
        <v>21</v>
      </c>
      <c r="E19" s="76" t="s">
        <v>10</v>
      </c>
      <c r="F19" s="76" t="s">
        <v>11</v>
      </c>
      <c r="G19" s="76" t="s">
        <v>22</v>
      </c>
      <c r="H19" s="77" t="s">
        <v>264</v>
      </c>
      <c r="I19" s="76" t="s">
        <v>265</v>
      </c>
      <c r="J19" s="76" t="s">
        <v>217</v>
      </c>
      <c r="K19" s="76" t="s">
        <v>280</v>
      </c>
      <c r="L19" s="76" t="s">
        <v>180</v>
      </c>
      <c r="M19" s="76" t="s">
        <v>181</v>
      </c>
      <c r="N19" s="119"/>
      <c r="O19" s="112"/>
    </row>
    <row r="20" spans="1:15">
      <c r="A20" s="75" t="s">
        <v>12</v>
      </c>
      <c r="B20" s="81">
        <v>891</v>
      </c>
      <c r="C20" s="81">
        <v>905</v>
      </c>
      <c r="D20" s="81">
        <v>1412</v>
      </c>
      <c r="E20" s="81">
        <v>1759</v>
      </c>
      <c r="F20" s="82">
        <v>1173</v>
      </c>
      <c r="G20" s="82">
        <v>2991</v>
      </c>
      <c r="H20" s="83">
        <v>1104</v>
      </c>
      <c r="I20" s="84">
        <v>879</v>
      </c>
      <c r="J20" s="84">
        <v>957</v>
      </c>
      <c r="K20" s="84">
        <v>1520</v>
      </c>
      <c r="L20" s="84">
        <v>1477</v>
      </c>
      <c r="M20" s="84">
        <v>1418</v>
      </c>
      <c r="N20" s="82">
        <f t="shared" si="2"/>
        <v>16486</v>
      </c>
      <c r="O20" s="112">
        <f t="shared" si="0"/>
        <v>1373.8333333333333</v>
      </c>
    </row>
    <row r="21" spans="1:15">
      <c r="A21" s="75" t="s">
        <v>13</v>
      </c>
      <c r="B21" s="60">
        <v>710475</v>
      </c>
      <c r="C21" s="60">
        <v>763876</v>
      </c>
      <c r="D21" s="60">
        <v>1071513</v>
      </c>
      <c r="E21" s="60">
        <v>1236487</v>
      </c>
      <c r="F21" s="61">
        <v>763364</v>
      </c>
      <c r="G21" s="61">
        <v>1454930</v>
      </c>
      <c r="H21" s="66">
        <v>871026</v>
      </c>
      <c r="I21" s="61">
        <v>674510</v>
      </c>
      <c r="J21" s="61">
        <v>808192</v>
      </c>
      <c r="K21" s="61">
        <v>894098</v>
      </c>
      <c r="L21" s="61">
        <v>858637</v>
      </c>
      <c r="M21" s="61">
        <v>934376</v>
      </c>
      <c r="N21" s="61">
        <f t="shared" si="2"/>
        <v>11041484</v>
      </c>
      <c r="O21" s="70">
        <f t="shared" si="0"/>
        <v>920123.66666666663</v>
      </c>
    </row>
    <row r="22" spans="1:15">
      <c r="A22" s="75"/>
      <c r="B22" s="103"/>
      <c r="C22" s="103"/>
      <c r="D22" s="103"/>
      <c r="E22" s="103"/>
      <c r="F22" s="104"/>
      <c r="G22" s="104"/>
      <c r="H22" s="105"/>
      <c r="I22" s="106"/>
      <c r="J22" s="106"/>
      <c r="K22" s="106"/>
      <c r="L22" s="106"/>
      <c r="M22" s="106"/>
      <c r="N22" s="82"/>
      <c r="O22" s="112"/>
    </row>
    <row r="23" spans="1:15">
      <c r="A23" s="75" t="s">
        <v>283</v>
      </c>
      <c r="B23" s="118">
        <f>B21/B20</f>
        <v>797.3905723905724</v>
      </c>
      <c r="C23" s="118">
        <f t="shared" ref="C23:M23" si="3">C21/C20</f>
        <v>844.06187845303873</v>
      </c>
      <c r="D23" s="118">
        <f t="shared" si="3"/>
        <v>758.8618980169972</v>
      </c>
      <c r="E23" s="118">
        <f t="shared" si="3"/>
        <v>702.94883456509376</v>
      </c>
      <c r="F23" s="118">
        <f t="shared" si="3"/>
        <v>650.77919863597617</v>
      </c>
      <c r="G23" s="118">
        <f t="shared" si="3"/>
        <v>486.43597459043798</v>
      </c>
      <c r="H23" s="118">
        <f t="shared" si="3"/>
        <v>788.9728260869565</v>
      </c>
      <c r="I23" s="118">
        <f t="shared" si="3"/>
        <v>767.36063708759957</v>
      </c>
      <c r="J23" s="118">
        <f>J21/J20</f>
        <v>844.50574712643675</v>
      </c>
      <c r="K23" s="118">
        <f t="shared" si="3"/>
        <v>588.22236842105258</v>
      </c>
      <c r="L23" s="118">
        <f>L21/L20</f>
        <v>581.33852403520655</v>
      </c>
      <c r="M23" s="118">
        <f t="shared" si="3"/>
        <v>658.93935119887169</v>
      </c>
      <c r="N23" s="118">
        <f t="shared" si="2"/>
        <v>8469.8178106082396</v>
      </c>
      <c r="O23" s="112">
        <f t="shared" si="0"/>
        <v>705.81815088401993</v>
      </c>
    </row>
    <row r="24" spans="1:15">
      <c r="A24" s="106"/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82"/>
      <c r="O24" s="112"/>
    </row>
    <row r="25" spans="1:15">
      <c r="A25" s="75" t="s">
        <v>52</v>
      </c>
      <c r="B25" s="76" t="s">
        <v>182</v>
      </c>
      <c r="C25" s="76" t="s">
        <v>9</v>
      </c>
      <c r="D25" s="76" t="s">
        <v>21</v>
      </c>
      <c r="E25" s="76" t="s">
        <v>10</v>
      </c>
      <c r="F25" s="76" t="s">
        <v>11</v>
      </c>
      <c r="G25" s="76" t="s">
        <v>22</v>
      </c>
      <c r="H25" s="77" t="s">
        <v>264</v>
      </c>
      <c r="I25" s="76" t="s">
        <v>265</v>
      </c>
      <c r="J25" s="76" t="s">
        <v>217</v>
      </c>
      <c r="K25" s="76" t="s">
        <v>280</v>
      </c>
      <c r="L25" s="76" t="s">
        <v>180</v>
      </c>
      <c r="M25" s="76" t="s">
        <v>181</v>
      </c>
      <c r="N25" s="119"/>
      <c r="O25" s="112"/>
    </row>
    <row r="26" spans="1:15">
      <c r="A26" s="75" t="s">
        <v>12</v>
      </c>
      <c r="B26" s="81">
        <v>1252</v>
      </c>
      <c r="C26" s="81">
        <v>1099</v>
      </c>
      <c r="D26" s="81">
        <v>1089</v>
      </c>
      <c r="E26" s="81">
        <v>1596</v>
      </c>
      <c r="F26" s="82">
        <v>1160</v>
      </c>
      <c r="G26" s="82">
        <v>1537</v>
      </c>
      <c r="H26" s="83">
        <v>1687</v>
      </c>
      <c r="I26" s="84">
        <v>1183</v>
      </c>
      <c r="J26" s="84">
        <v>2316</v>
      </c>
      <c r="K26" s="84">
        <v>1153</v>
      </c>
      <c r="L26" s="84">
        <v>2206</v>
      </c>
      <c r="M26" s="84">
        <v>654</v>
      </c>
      <c r="N26" s="82">
        <f t="shared" si="2"/>
        <v>16932</v>
      </c>
      <c r="O26" s="112">
        <f t="shared" si="0"/>
        <v>1411</v>
      </c>
    </row>
    <row r="27" spans="1:15">
      <c r="A27" s="75" t="s">
        <v>13</v>
      </c>
      <c r="B27" s="60">
        <v>1018323</v>
      </c>
      <c r="C27" s="60">
        <v>562892</v>
      </c>
      <c r="D27" s="60">
        <v>754548</v>
      </c>
      <c r="E27" s="60">
        <v>1117405</v>
      </c>
      <c r="F27" s="61">
        <v>1100111</v>
      </c>
      <c r="G27" s="61">
        <v>1284283</v>
      </c>
      <c r="H27" s="66">
        <v>1489195</v>
      </c>
      <c r="I27" s="61">
        <v>634614</v>
      </c>
      <c r="J27" s="61">
        <v>1741895</v>
      </c>
      <c r="K27" s="61">
        <v>924975</v>
      </c>
      <c r="L27" s="61">
        <v>843067</v>
      </c>
      <c r="M27" s="61">
        <v>565890</v>
      </c>
      <c r="N27" s="61">
        <f t="shared" si="2"/>
        <v>12037198</v>
      </c>
      <c r="O27" s="70">
        <f t="shared" si="0"/>
        <v>1003099.8333333334</v>
      </c>
    </row>
    <row r="28" spans="1:15">
      <c r="A28" s="75"/>
      <c r="B28" s="103"/>
      <c r="C28" s="103"/>
      <c r="D28" s="103"/>
      <c r="E28" s="103"/>
      <c r="F28" s="104"/>
      <c r="G28" s="104"/>
      <c r="H28" s="105"/>
      <c r="I28" s="106"/>
      <c r="J28" s="106"/>
      <c r="K28" s="106"/>
      <c r="L28" s="106"/>
      <c r="M28" s="106"/>
      <c r="N28" s="82"/>
      <c r="O28" s="112"/>
    </row>
    <row r="29" spans="1:15">
      <c r="A29" s="75" t="s">
        <v>283</v>
      </c>
      <c r="B29" s="118">
        <f>B27/B26</f>
        <v>813.35702875399363</v>
      </c>
      <c r="C29" s="118">
        <f t="shared" ref="C29:M29" si="4">C27/C26</f>
        <v>512.18562329390352</v>
      </c>
      <c r="D29" s="118">
        <f t="shared" si="4"/>
        <v>692.88154269972449</v>
      </c>
      <c r="E29" s="118">
        <f t="shared" si="4"/>
        <v>700.12844611528817</v>
      </c>
      <c r="F29" s="118">
        <f t="shared" si="4"/>
        <v>948.37155172413793</v>
      </c>
      <c r="G29" s="118">
        <f t="shared" si="4"/>
        <v>835.5777488614184</v>
      </c>
      <c r="H29" s="118">
        <f t="shared" si="4"/>
        <v>882.74748073503258</v>
      </c>
      <c r="I29" s="118">
        <f>I27/I26</f>
        <v>536.4446322907861</v>
      </c>
      <c r="J29" s="118">
        <f t="shared" si="4"/>
        <v>752.11355785837657</v>
      </c>
      <c r="K29" s="118">
        <f t="shared" si="4"/>
        <v>802.23330442324368</v>
      </c>
      <c r="L29" s="118">
        <f t="shared" si="4"/>
        <v>382.16999093381685</v>
      </c>
      <c r="M29" s="118">
        <f t="shared" si="4"/>
        <v>865.27522935779814</v>
      </c>
      <c r="N29" s="118">
        <f t="shared" si="2"/>
        <v>8723.4861370475192</v>
      </c>
      <c r="O29" s="112">
        <f t="shared" si="0"/>
        <v>726.9571780872933</v>
      </c>
    </row>
    <row r="30" spans="1:15">
      <c r="A30" s="106"/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82"/>
      <c r="O30" s="112"/>
    </row>
    <row r="31" spans="1:15">
      <c r="A31" s="92" t="s">
        <v>53</v>
      </c>
      <c r="B31" s="93" t="s">
        <v>54</v>
      </c>
      <c r="C31" s="93" t="s">
        <v>55</v>
      </c>
      <c r="D31" s="93" t="s">
        <v>56</v>
      </c>
      <c r="E31" s="93" t="s">
        <v>218</v>
      </c>
      <c r="F31" s="93" t="s">
        <v>219</v>
      </c>
      <c r="G31" s="93" t="s">
        <v>220</v>
      </c>
      <c r="H31" s="77" t="s">
        <v>221</v>
      </c>
      <c r="I31" s="93" t="s">
        <v>266</v>
      </c>
      <c r="J31" s="93" t="s">
        <v>279</v>
      </c>
      <c r="K31" s="93" t="s">
        <v>222</v>
      </c>
      <c r="L31" s="93" t="s">
        <v>281</v>
      </c>
      <c r="M31" s="93" t="s">
        <v>282</v>
      </c>
      <c r="N31" s="119"/>
      <c r="O31" s="112"/>
    </row>
    <row r="32" spans="1:15">
      <c r="A32" s="120" t="s">
        <v>223</v>
      </c>
      <c r="B32" s="121">
        <v>1602</v>
      </c>
      <c r="C32" s="121">
        <v>1290</v>
      </c>
      <c r="D32" s="121">
        <v>1258</v>
      </c>
      <c r="E32" s="121">
        <v>1914.56</v>
      </c>
      <c r="F32" s="122">
        <v>2801</v>
      </c>
      <c r="G32" s="122">
        <v>1820</v>
      </c>
      <c r="H32" s="123">
        <v>877</v>
      </c>
      <c r="I32" s="123">
        <v>1566</v>
      </c>
      <c r="J32" s="123">
        <v>618</v>
      </c>
      <c r="K32" s="123">
        <v>1032</v>
      </c>
      <c r="L32" s="123">
        <v>686</v>
      </c>
      <c r="M32" s="123">
        <v>663</v>
      </c>
      <c r="N32" s="122">
        <f t="shared" si="2"/>
        <v>16127.56</v>
      </c>
      <c r="O32" s="112">
        <f t="shared" si="0"/>
        <v>1343.9633333333334</v>
      </c>
    </row>
    <row r="33" spans="1:15">
      <c r="A33" s="120" t="s">
        <v>224</v>
      </c>
      <c r="B33" s="69">
        <v>868321</v>
      </c>
      <c r="C33" s="69">
        <v>723869</v>
      </c>
      <c r="D33" s="69">
        <v>849406</v>
      </c>
      <c r="E33" s="69">
        <v>1764737.09</v>
      </c>
      <c r="F33" s="70">
        <v>1620402.9</v>
      </c>
      <c r="G33" s="70">
        <v>1198489.69</v>
      </c>
      <c r="H33" s="123">
        <v>749963.03</v>
      </c>
      <c r="I33" s="70">
        <v>1095606.29</v>
      </c>
      <c r="J33" s="70">
        <v>679281.36</v>
      </c>
      <c r="K33" s="70">
        <v>537497</v>
      </c>
      <c r="L33" s="70">
        <v>665729</v>
      </c>
      <c r="M33" s="70">
        <v>627432.46</v>
      </c>
      <c r="N33" s="70">
        <f t="shared" si="2"/>
        <v>11380734.82</v>
      </c>
      <c r="O33" s="70">
        <f t="shared" si="0"/>
        <v>948394.56833333336</v>
      </c>
    </row>
    <row r="34" spans="1:15">
      <c r="A34" s="120"/>
      <c r="B34" s="124"/>
      <c r="C34" s="124"/>
      <c r="D34" s="124"/>
      <c r="E34" s="124"/>
      <c r="F34" s="125"/>
      <c r="G34" s="125"/>
      <c r="H34" s="126"/>
      <c r="I34" s="127"/>
      <c r="J34" s="127"/>
      <c r="K34" s="127"/>
      <c r="L34" s="127"/>
      <c r="M34" s="127"/>
      <c r="N34" s="122"/>
      <c r="O34" s="112"/>
    </row>
    <row r="35" spans="1:15">
      <c r="A35" s="92" t="s">
        <v>27</v>
      </c>
      <c r="B35" s="128">
        <f t="shared" ref="B35:G35" si="5">B33/B32</f>
        <v>542.02309612983765</v>
      </c>
      <c r="C35" s="128">
        <f t="shared" si="5"/>
        <v>561.13875968992249</v>
      </c>
      <c r="D35" s="128">
        <f t="shared" si="5"/>
        <v>675.20349761526234</v>
      </c>
      <c r="E35" s="128">
        <f t="shared" si="5"/>
        <v>921.74551332943349</v>
      </c>
      <c r="F35" s="128">
        <f t="shared" si="5"/>
        <v>578.50871117458053</v>
      </c>
      <c r="G35" s="128">
        <f t="shared" si="5"/>
        <v>658.5108186813186</v>
      </c>
      <c r="H35" s="129">
        <f t="shared" ref="H35:M35" si="6">H33/H32</f>
        <v>855.14598631698982</v>
      </c>
      <c r="I35" s="129">
        <f t="shared" si="6"/>
        <v>699.6208748403576</v>
      </c>
      <c r="J35" s="129">
        <f t="shared" si="6"/>
        <v>1099.1607766990292</v>
      </c>
      <c r="K35" s="129">
        <f t="shared" si="6"/>
        <v>520.8304263565891</v>
      </c>
      <c r="L35" s="129">
        <f t="shared" si="6"/>
        <v>970.45043731778424</v>
      </c>
      <c r="M35" s="129">
        <f t="shared" si="6"/>
        <v>946.35363499245841</v>
      </c>
      <c r="N35" s="118">
        <f t="shared" si="2"/>
        <v>9028.6925331435632</v>
      </c>
      <c r="O35" s="112">
        <f t="shared" si="0"/>
        <v>752.39104442863027</v>
      </c>
    </row>
    <row r="36" spans="1:15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112"/>
    </row>
    <row r="37" spans="1:15">
      <c r="A37" s="92" t="s">
        <v>83</v>
      </c>
      <c r="B37" s="93" t="s">
        <v>54</v>
      </c>
      <c r="C37" s="93" t="s">
        <v>55</v>
      </c>
      <c r="D37" s="93" t="s">
        <v>56</v>
      </c>
      <c r="E37" s="93" t="s">
        <v>218</v>
      </c>
      <c r="F37" s="93" t="s">
        <v>219</v>
      </c>
      <c r="G37" s="93" t="s">
        <v>220</v>
      </c>
      <c r="H37" s="77" t="s">
        <v>221</v>
      </c>
      <c r="I37" s="93" t="s">
        <v>266</v>
      </c>
      <c r="J37" s="93" t="s">
        <v>279</v>
      </c>
      <c r="K37" s="93" t="s">
        <v>222</v>
      </c>
      <c r="L37" s="93" t="s">
        <v>281</v>
      </c>
      <c r="M37" s="93" t="s">
        <v>282</v>
      </c>
      <c r="N37" s="119"/>
      <c r="O37" s="112"/>
    </row>
    <row r="38" spans="1:15">
      <c r="A38" s="120" t="s">
        <v>223</v>
      </c>
      <c r="B38" s="121">
        <f>'[7]U4001381.csv'!$D$8</f>
        <v>1019</v>
      </c>
      <c r="C38" s="121">
        <f>'[7]U4001381.csv'!$D$21</f>
        <v>999</v>
      </c>
      <c r="D38" s="121">
        <f>'[7]U4001381.csv'!$D$34</f>
        <v>1094</v>
      </c>
      <c r="E38" s="121">
        <f>'[8]V9501381.csv'!$D$34</f>
        <v>1231</v>
      </c>
      <c r="F38" s="122">
        <v>1614</v>
      </c>
      <c r="G38" s="122">
        <f>'[9]A9101381.csv'!$D$34</f>
        <v>1354</v>
      </c>
      <c r="H38" s="123">
        <f>'[10]B8401381.csv'!$D$31</f>
        <v>2773</v>
      </c>
      <c r="I38" s="123">
        <f>'[5]C9901381.csv'!$D$32</f>
        <v>4624</v>
      </c>
      <c r="J38" s="123">
        <v>890</v>
      </c>
      <c r="K38" s="123">
        <v>711</v>
      </c>
      <c r="L38" s="123">
        <v>902</v>
      </c>
      <c r="M38" s="123">
        <f>'[6]F6401381.csv'!$D$37</f>
        <v>1075</v>
      </c>
      <c r="N38" s="122">
        <f>SUM(B38:M38)</f>
        <v>18286</v>
      </c>
      <c r="O38" s="112">
        <f t="shared" si="0"/>
        <v>1523.8333333333333</v>
      </c>
    </row>
    <row r="39" spans="1:15">
      <c r="A39" s="120" t="s">
        <v>224</v>
      </c>
      <c r="B39" s="69">
        <f>'[7]U4001381.csv'!$E$8</f>
        <v>781304.1</v>
      </c>
      <c r="C39" s="69">
        <f>'[7]U4001381.csv'!$E$21</f>
        <v>968556.53</v>
      </c>
      <c r="D39" s="69">
        <f>'[7]U4001381.csv'!$E$34</f>
        <v>953653.54</v>
      </c>
      <c r="E39" s="69">
        <f>'[8]V9501381.csv'!$E$34</f>
        <v>868813.59</v>
      </c>
      <c r="F39" s="70">
        <v>1414384.78</v>
      </c>
      <c r="G39" s="70">
        <f>'[9]A9101381.csv'!$E$34</f>
        <v>1024620.27</v>
      </c>
      <c r="H39" s="123">
        <f>'[10]B8401381.csv'!$E$31</f>
        <v>2306547.7799999998</v>
      </c>
      <c r="I39" s="70">
        <f>'[5]C9901381.csv'!$E$32</f>
        <v>2599412.0299999998</v>
      </c>
      <c r="J39" s="70">
        <v>947519</v>
      </c>
      <c r="K39" s="70">
        <v>618762</v>
      </c>
      <c r="L39" s="70">
        <v>771668</v>
      </c>
      <c r="M39" s="70">
        <f>'[6]F6401381.csv'!$E$37</f>
        <v>1196697.0900000001</v>
      </c>
      <c r="N39" s="70">
        <f>SUM(B39:M39)</f>
        <v>14451938.709999999</v>
      </c>
      <c r="O39" s="70">
        <f t="shared" si="0"/>
        <v>1204328.2258333333</v>
      </c>
    </row>
    <row r="40" spans="1:15">
      <c r="A40" s="120"/>
      <c r="B40" s="124"/>
      <c r="C40" s="124"/>
      <c r="D40" s="124"/>
      <c r="E40" s="124"/>
      <c r="F40" s="125"/>
      <c r="G40" s="125"/>
      <c r="H40" s="126"/>
      <c r="I40" s="127"/>
      <c r="J40" s="127"/>
      <c r="K40" s="127"/>
      <c r="L40" s="127"/>
      <c r="M40" s="127"/>
      <c r="N40" s="122"/>
      <c r="O40" s="112"/>
    </row>
    <row r="41" spans="1:15">
      <c r="A41" s="92" t="s">
        <v>27</v>
      </c>
      <c r="B41" s="128">
        <f t="shared" ref="B41:M41" si="7">B39/B38</f>
        <v>766.73611383709522</v>
      </c>
      <c r="C41" s="128">
        <f t="shared" si="7"/>
        <v>969.52605605605606</v>
      </c>
      <c r="D41" s="128">
        <f t="shared" si="7"/>
        <v>871.71255941499089</v>
      </c>
      <c r="E41" s="128">
        <f t="shared" si="7"/>
        <v>705.77870836718114</v>
      </c>
      <c r="F41" s="128">
        <f t="shared" si="7"/>
        <v>876.32266418835195</v>
      </c>
      <c r="G41" s="128">
        <f t="shared" si="7"/>
        <v>756.73579763663224</v>
      </c>
      <c r="H41" s="128">
        <f t="shared" si="7"/>
        <v>831.78787594662811</v>
      </c>
      <c r="I41" s="128">
        <f t="shared" si="7"/>
        <v>562.15658088235284</v>
      </c>
      <c r="J41" s="128">
        <f t="shared" si="7"/>
        <v>1064.6280898876405</v>
      </c>
      <c r="K41" s="128">
        <f t="shared" si="7"/>
        <v>870.27004219409287</v>
      </c>
      <c r="L41" s="128">
        <f t="shared" si="7"/>
        <v>855.50776053215077</v>
      </c>
      <c r="M41" s="128">
        <f t="shared" si="7"/>
        <v>1113.2065953488373</v>
      </c>
      <c r="N41" s="118">
        <f>SUM(B41:M41)</f>
        <v>10244.36884429201</v>
      </c>
      <c r="O41" s="112">
        <f t="shared" si="0"/>
        <v>853.69740369100089</v>
      </c>
    </row>
    <row r="42" spans="1:15">
      <c r="O42" s="112"/>
    </row>
    <row r="43" spans="1:15">
      <c r="A43" s="92" t="s">
        <v>228</v>
      </c>
      <c r="B43" s="93" t="s">
        <v>48</v>
      </c>
      <c r="C43" s="93" t="s">
        <v>119</v>
      </c>
      <c r="D43" s="93" t="s">
        <v>120</v>
      </c>
      <c r="E43" s="93" t="s">
        <v>121</v>
      </c>
      <c r="F43" s="93" t="s">
        <v>252</v>
      </c>
      <c r="G43" s="93" t="s">
        <v>34</v>
      </c>
      <c r="H43" s="77" t="s">
        <v>26</v>
      </c>
      <c r="I43" s="93" t="s">
        <v>25</v>
      </c>
      <c r="J43" s="93" t="s">
        <v>122</v>
      </c>
      <c r="K43" s="93" t="s">
        <v>123</v>
      </c>
      <c r="L43" s="93" t="s">
        <v>124</v>
      </c>
      <c r="M43" s="93" t="s">
        <v>125</v>
      </c>
      <c r="N43" s="119"/>
      <c r="O43" s="112"/>
    </row>
    <row r="44" spans="1:15">
      <c r="A44" s="120" t="s">
        <v>183</v>
      </c>
      <c r="B44" s="121">
        <v>771</v>
      </c>
      <c r="C44" s="121">
        <v>3037</v>
      </c>
      <c r="D44" s="121">
        <v>1597</v>
      </c>
      <c r="E44" s="121">
        <v>1118</v>
      </c>
      <c r="F44" s="122">
        <v>2717</v>
      </c>
      <c r="G44" s="122">
        <v>3384</v>
      </c>
      <c r="H44" s="123">
        <v>1805</v>
      </c>
      <c r="I44" s="123">
        <v>1185</v>
      </c>
      <c r="J44" s="123">
        <v>872</v>
      </c>
      <c r="K44" s="123">
        <v>838</v>
      </c>
      <c r="L44" s="123">
        <v>1014</v>
      </c>
      <c r="M44" s="123">
        <v>1408</v>
      </c>
      <c r="N44" s="122">
        <f>SUM(B44:M44)</f>
        <v>19746</v>
      </c>
      <c r="O44" s="112">
        <f t="shared" si="0"/>
        <v>1645.5</v>
      </c>
    </row>
    <row r="45" spans="1:15">
      <c r="A45" s="120" t="s">
        <v>49</v>
      </c>
      <c r="B45" s="69">
        <v>833563.71</v>
      </c>
      <c r="C45" s="69">
        <v>831769</v>
      </c>
      <c r="D45" s="69">
        <v>1243033</v>
      </c>
      <c r="E45" s="69">
        <v>1084088</v>
      </c>
      <c r="F45" s="70">
        <v>1248946</v>
      </c>
      <c r="G45" s="70">
        <v>1188614</v>
      </c>
      <c r="H45" s="123">
        <v>1314567</v>
      </c>
      <c r="I45" s="70">
        <v>790204</v>
      </c>
      <c r="J45" s="70">
        <v>741617</v>
      </c>
      <c r="K45" s="70">
        <v>881450</v>
      </c>
      <c r="L45" s="70">
        <v>1231493</v>
      </c>
      <c r="M45" s="70">
        <v>937337</v>
      </c>
      <c r="N45" s="70">
        <f>SUM(B45:M45)</f>
        <v>12326681.710000001</v>
      </c>
      <c r="O45" s="70">
        <f t="shared" si="0"/>
        <v>1027223.4758333334</v>
      </c>
    </row>
    <row r="46" spans="1:15">
      <c r="A46" s="120"/>
      <c r="B46" s="124"/>
      <c r="C46" s="124"/>
      <c r="D46" s="124"/>
      <c r="E46" s="124"/>
      <c r="F46" s="125"/>
      <c r="G46" s="125"/>
      <c r="H46" s="126"/>
      <c r="I46" s="127"/>
      <c r="J46" s="127"/>
      <c r="K46" s="127"/>
      <c r="L46" s="127"/>
      <c r="M46" s="127"/>
      <c r="N46" s="122"/>
      <c r="O46" s="112"/>
    </row>
    <row r="47" spans="1:15">
      <c r="A47" s="92" t="s">
        <v>27</v>
      </c>
      <c r="B47" s="128">
        <f t="shared" ref="B47:M47" si="8">B45/B44</f>
        <v>1081.1461867704279</v>
      </c>
      <c r="C47" s="128">
        <f t="shared" si="8"/>
        <v>273.87849851827463</v>
      </c>
      <c r="D47" s="128">
        <f t="shared" si="8"/>
        <v>778.35504070131492</v>
      </c>
      <c r="E47" s="128">
        <f t="shared" si="8"/>
        <v>969.66726296958859</v>
      </c>
      <c r="F47" s="128">
        <f t="shared" si="8"/>
        <v>459.67832167832165</v>
      </c>
      <c r="G47" s="128">
        <f t="shared" si="8"/>
        <v>351.2452718676123</v>
      </c>
      <c r="H47" s="128">
        <f t="shared" si="8"/>
        <v>728.29196675900278</v>
      </c>
      <c r="I47" s="128">
        <f t="shared" si="8"/>
        <v>666.83881856540086</v>
      </c>
      <c r="J47" s="128">
        <f t="shared" si="8"/>
        <v>850.47821100917429</v>
      </c>
      <c r="K47" s="128">
        <f t="shared" si="8"/>
        <v>1051.8496420047732</v>
      </c>
      <c r="L47" s="128">
        <f t="shared" si="8"/>
        <v>1214.4901380670613</v>
      </c>
      <c r="M47" s="128">
        <f t="shared" si="8"/>
        <v>665.72230113636363</v>
      </c>
      <c r="N47" s="118">
        <f>SUM(B47:M47)</f>
        <v>9091.6416600473167</v>
      </c>
      <c r="O47" s="112">
        <f t="shared" si="0"/>
        <v>757.6368050039431</v>
      </c>
    </row>
    <row r="48" spans="1:15">
      <c r="O48" s="112"/>
    </row>
    <row r="49" spans="1:15">
      <c r="A49" s="92" t="s">
        <v>315</v>
      </c>
      <c r="B49" s="93" t="s">
        <v>48</v>
      </c>
      <c r="C49" s="93" t="s">
        <v>55</v>
      </c>
      <c r="D49" s="93" t="s">
        <v>56</v>
      </c>
      <c r="E49" s="93" t="s">
        <v>121</v>
      </c>
      <c r="F49" s="93" t="s">
        <v>78</v>
      </c>
      <c r="G49" s="93" t="s">
        <v>34</v>
      </c>
      <c r="H49" s="77" t="s">
        <v>26</v>
      </c>
      <c r="I49" s="93" t="s">
        <v>25</v>
      </c>
      <c r="J49" s="93" t="s">
        <v>122</v>
      </c>
      <c r="K49" s="93" t="s">
        <v>40</v>
      </c>
      <c r="L49" s="93" t="s">
        <v>41</v>
      </c>
      <c r="M49" s="93" t="s">
        <v>125</v>
      </c>
      <c r="N49" s="119"/>
      <c r="O49" s="112"/>
    </row>
    <row r="50" spans="1:15">
      <c r="A50" s="120" t="s">
        <v>183</v>
      </c>
      <c r="B50" s="121">
        <v>848</v>
      </c>
      <c r="C50" s="121">
        <v>1230</v>
      </c>
      <c r="D50" s="121">
        <v>1886</v>
      </c>
      <c r="E50" s="121">
        <v>1335</v>
      </c>
      <c r="F50" s="122">
        <v>1817</v>
      </c>
      <c r="G50" s="122">
        <v>1779</v>
      </c>
      <c r="H50" s="123">
        <v>1448</v>
      </c>
      <c r="I50" s="123">
        <v>630</v>
      </c>
      <c r="J50" s="123">
        <v>654</v>
      </c>
      <c r="K50" s="123">
        <v>1021</v>
      </c>
      <c r="L50" s="123">
        <v>992</v>
      </c>
      <c r="M50" s="123">
        <v>1913</v>
      </c>
      <c r="N50" s="122">
        <f>SUM(B50:M50)</f>
        <v>15553</v>
      </c>
      <c r="O50" s="112">
        <f t="shared" si="0"/>
        <v>1296.0833333333333</v>
      </c>
    </row>
    <row r="51" spans="1:15">
      <c r="A51" s="120" t="s">
        <v>49</v>
      </c>
      <c r="B51" s="69">
        <v>1027980</v>
      </c>
      <c r="C51" s="69">
        <v>1016714</v>
      </c>
      <c r="D51" s="69">
        <v>1266355</v>
      </c>
      <c r="E51" s="69">
        <v>1147973</v>
      </c>
      <c r="F51" s="70">
        <v>1844762</v>
      </c>
      <c r="G51" s="70">
        <v>960508</v>
      </c>
      <c r="H51" s="123">
        <v>1026379</v>
      </c>
      <c r="I51" s="70">
        <v>673997</v>
      </c>
      <c r="J51" s="70">
        <v>798569</v>
      </c>
      <c r="K51" s="70">
        <v>882161</v>
      </c>
      <c r="L51" s="70">
        <v>835784</v>
      </c>
      <c r="M51" s="70">
        <v>912654</v>
      </c>
      <c r="N51" s="70">
        <f>SUM(B51:M51)</f>
        <v>12393836</v>
      </c>
      <c r="O51" s="70">
        <f t="shared" si="0"/>
        <v>1032819.6666666666</v>
      </c>
    </row>
    <row r="52" spans="1:15">
      <c r="A52" s="120"/>
      <c r="B52" s="124"/>
      <c r="C52" s="124"/>
      <c r="D52" s="124"/>
      <c r="E52" s="124"/>
      <c r="F52" s="125"/>
      <c r="G52" s="125"/>
      <c r="H52" s="126"/>
      <c r="I52" s="127"/>
      <c r="J52" s="127"/>
      <c r="K52" s="127"/>
      <c r="L52" s="127"/>
      <c r="M52" s="127"/>
      <c r="N52" s="122"/>
      <c r="O52" s="112"/>
    </row>
    <row r="53" spans="1:15">
      <c r="A53" s="92" t="s">
        <v>27</v>
      </c>
      <c r="B53" s="128">
        <f t="shared" ref="B53:M53" si="9">B51/B50</f>
        <v>1212.2405660377358</v>
      </c>
      <c r="C53" s="128">
        <f t="shared" si="9"/>
        <v>826.5967479674797</v>
      </c>
      <c r="D53" s="128">
        <f t="shared" si="9"/>
        <v>671.45015906680806</v>
      </c>
      <c r="E53" s="128">
        <f t="shared" si="9"/>
        <v>859.90486891385763</v>
      </c>
      <c r="F53" s="128">
        <f t="shared" si="9"/>
        <v>1015.2790313703907</v>
      </c>
      <c r="G53" s="128">
        <f t="shared" si="9"/>
        <v>539.91455874086569</v>
      </c>
      <c r="H53" s="128">
        <f t="shared" si="9"/>
        <v>708.82527624309387</v>
      </c>
      <c r="I53" s="128">
        <f t="shared" si="9"/>
        <v>1069.836507936508</v>
      </c>
      <c r="J53" s="128">
        <f t="shared" si="9"/>
        <v>1221.0535168195718</v>
      </c>
      <c r="K53" s="128">
        <f t="shared" si="9"/>
        <v>864.0166503428012</v>
      </c>
      <c r="L53" s="128">
        <f t="shared" si="9"/>
        <v>842.52419354838707</v>
      </c>
      <c r="M53" s="128">
        <f t="shared" si="9"/>
        <v>477.07997909043388</v>
      </c>
      <c r="N53" s="118">
        <f>SUM(B53:M53)</f>
        <v>10308.722056077931</v>
      </c>
      <c r="O53" s="112">
        <f>N53/12</f>
        <v>859.06017133982766</v>
      </c>
    </row>
    <row r="55" spans="1:15">
      <c r="A55" s="92" t="s">
        <v>324</v>
      </c>
      <c r="B55" s="93" t="s">
        <v>48</v>
      </c>
      <c r="C55" s="93" t="s">
        <v>55</v>
      </c>
      <c r="D55" s="93" t="s">
        <v>56</v>
      </c>
      <c r="E55" s="93" t="s">
        <v>121</v>
      </c>
      <c r="F55" s="93" t="s">
        <v>78</v>
      </c>
      <c r="G55" s="93" t="s">
        <v>34</v>
      </c>
      <c r="H55" s="77" t="s">
        <v>26</v>
      </c>
      <c r="I55" s="93" t="s">
        <v>25</v>
      </c>
      <c r="J55" s="93" t="s">
        <v>122</v>
      </c>
      <c r="K55" s="93" t="s">
        <v>40</v>
      </c>
      <c r="L55" s="93" t="s">
        <v>41</v>
      </c>
      <c r="M55" s="93" t="s">
        <v>125</v>
      </c>
      <c r="N55" s="119"/>
      <c r="O55" s="112"/>
    </row>
    <row r="56" spans="1:15">
      <c r="A56" s="120" t="s">
        <v>183</v>
      </c>
      <c r="B56" s="121">
        <v>2233</v>
      </c>
      <c r="C56" s="121">
        <v>866</v>
      </c>
      <c r="D56" s="121">
        <v>2722</v>
      </c>
      <c r="E56" s="121">
        <v>944</v>
      </c>
      <c r="F56" s="122">
        <v>1781</v>
      </c>
      <c r="G56" s="122">
        <v>1450</v>
      </c>
      <c r="H56" s="123">
        <v>1016</v>
      </c>
      <c r="I56" s="123">
        <v>566</v>
      </c>
      <c r="J56" s="123">
        <v>513</v>
      </c>
      <c r="K56" s="123">
        <v>717</v>
      </c>
      <c r="L56" s="123">
        <v>1135</v>
      </c>
      <c r="M56" s="123"/>
      <c r="N56" s="122">
        <f>SUM(B56:M56)</f>
        <v>13943</v>
      </c>
      <c r="O56" s="112">
        <f>N56/11</f>
        <v>1267.5454545454545</v>
      </c>
    </row>
    <row r="57" spans="1:15">
      <c r="A57" s="120" t="s">
        <v>49</v>
      </c>
      <c r="B57" s="69">
        <v>836664</v>
      </c>
      <c r="C57" s="69">
        <v>899922</v>
      </c>
      <c r="D57" s="69">
        <v>1080153</v>
      </c>
      <c r="E57" s="69">
        <v>1113577</v>
      </c>
      <c r="F57" s="70">
        <v>1287845</v>
      </c>
      <c r="G57" s="70">
        <v>1229300</v>
      </c>
      <c r="H57" s="123">
        <v>719489</v>
      </c>
      <c r="I57" s="70">
        <v>496767</v>
      </c>
      <c r="J57" s="70">
        <v>630294</v>
      </c>
      <c r="K57" s="70">
        <v>394674</v>
      </c>
      <c r="L57" s="70">
        <v>633633</v>
      </c>
      <c r="M57" s="70"/>
      <c r="N57" s="70">
        <f>SUM(B57:M57)</f>
        <v>9322318</v>
      </c>
      <c r="O57" s="361">
        <f>N57/11</f>
        <v>847483.45454545459</v>
      </c>
    </row>
    <row r="58" spans="1:15">
      <c r="A58" s="120"/>
      <c r="B58" s="124"/>
      <c r="C58" s="124"/>
      <c r="D58" s="124"/>
      <c r="E58" s="124"/>
      <c r="F58" s="125"/>
      <c r="G58" s="125"/>
      <c r="H58" s="126"/>
      <c r="I58" s="127"/>
      <c r="J58" s="127"/>
      <c r="K58" s="127"/>
      <c r="L58" s="127"/>
      <c r="M58" s="127"/>
      <c r="N58" s="122"/>
      <c r="O58" s="112"/>
    </row>
    <row r="59" spans="1:15">
      <c r="A59" s="92" t="s">
        <v>27</v>
      </c>
      <c r="B59" s="128">
        <f t="shared" ref="B59:M59" si="10">B57/B56</f>
        <v>374.68159426780119</v>
      </c>
      <c r="C59" s="128">
        <f t="shared" si="10"/>
        <v>1039.1709006928406</v>
      </c>
      <c r="D59" s="128">
        <f t="shared" si="10"/>
        <v>396.82329169728143</v>
      </c>
      <c r="E59" s="128">
        <f t="shared" si="10"/>
        <v>1179.636652542373</v>
      </c>
      <c r="F59" s="128">
        <f t="shared" si="10"/>
        <v>723.10218978102193</v>
      </c>
      <c r="G59" s="128">
        <f t="shared" si="10"/>
        <v>847.79310344827582</v>
      </c>
      <c r="H59" s="128">
        <f t="shared" si="10"/>
        <v>708.15846456692918</v>
      </c>
      <c r="I59" s="128">
        <f t="shared" si="10"/>
        <v>877.68021201413433</v>
      </c>
      <c r="J59" s="128">
        <f t="shared" si="10"/>
        <v>1228.6432748538011</v>
      </c>
      <c r="K59" s="128">
        <f t="shared" si="10"/>
        <v>550.45188284518827</v>
      </c>
      <c r="L59" s="128">
        <f t="shared" si="10"/>
        <v>558.26696035242287</v>
      </c>
      <c r="M59" s="128" t="e">
        <f t="shared" si="10"/>
        <v>#DIV/0!</v>
      </c>
      <c r="N59" s="118" t="e">
        <f>SUM(B59:M59)</f>
        <v>#DIV/0!</v>
      </c>
      <c r="O59" s="112" t="e">
        <f>N59/12</f>
        <v>#DIV/0!</v>
      </c>
    </row>
  </sheetData>
  <mergeCells count="1">
    <mergeCell ref="A1:O11"/>
  </mergeCells>
  <phoneticPr fontId="3" type="noConversion"/>
  <pageMargins left="0.15944881889763785" right="0.15944881889763785" top="0.75" bottom="0.75" header="0.5" footer="0.5"/>
  <pageSetup paperSize="9" orientation="landscape" horizontalDpi="4294967292" verticalDpi="429496729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O33"/>
  <sheetViews>
    <sheetView topLeftCell="A16" workbookViewId="0">
      <selection activeCell="O34" sqref="O34"/>
    </sheetView>
  </sheetViews>
  <sheetFormatPr defaultColWidth="11.140625" defaultRowHeight="11.25"/>
  <cols>
    <col min="1" max="13" width="7.140625" style="58" customWidth="1"/>
    <col min="14" max="15" width="11" style="58" bestFit="1" customWidth="1"/>
    <col min="16" max="16384" width="11.140625" style="58"/>
  </cols>
  <sheetData>
    <row r="1" spans="1:15" s="369" customFormat="1" ht="12.75"/>
    <row r="2" spans="1:15" s="369" customFormat="1" ht="12.75"/>
    <row r="3" spans="1:15" s="369" customFormat="1" ht="12.75"/>
    <row r="4" spans="1:15" s="369" customFormat="1" ht="12.75"/>
    <row r="5" spans="1:15" s="369" customFormat="1" ht="12.75"/>
    <row r="6" spans="1:15" s="369" customFormat="1" ht="12.75"/>
    <row r="7" spans="1:15" s="369" customFormat="1" ht="12.75"/>
    <row r="8" spans="1:15" s="369" customFormat="1" ht="12.75"/>
    <row r="9" spans="1:15" s="369" customFormat="1" ht="12.75"/>
    <row r="11" spans="1:15" s="96" customFormat="1">
      <c r="A11" s="75" t="s">
        <v>255</v>
      </c>
      <c r="B11" s="76" t="s">
        <v>182</v>
      </c>
      <c r="C11" s="76" t="s">
        <v>9</v>
      </c>
      <c r="D11" s="76" t="s">
        <v>21</v>
      </c>
      <c r="E11" s="76" t="s">
        <v>10</v>
      </c>
      <c r="F11" s="76" t="s">
        <v>11</v>
      </c>
      <c r="G11" s="76" t="s">
        <v>22</v>
      </c>
      <c r="H11" s="102" t="s">
        <v>264</v>
      </c>
      <c r="I11" s="76" t="s">
        <v>265</v>
      </c>
      <c r="J11" s="76" t="s">
        <v>217</v>
      </c>
      <c r="K11" s="76" t="s">
        <v>280</v>
      </c>
      <c r="L11" s="76" t="s">
        <v>180</v>
      </c>
      <c r="M11" s="78" t="s">
        <v>181</v>
      </c>
      <c r="N11" s="130" t="s">
        <v>201</v>
      </c>
      <c r="O11" s="130" t="s">
        <v>202</v>
      </c>
    </row>
    <row r="12" spans="1:15" s="96" customFormat="1">
      <c r="A12" s="75" t="s">
        <v>13</v>
      </c>
      <c r="B12" s="131"/>
      <c r="C12" s="131"/>
      <c r="D12" s="131"/>
      <c r="E12" s="60">
        <v>95039</v>
      </c>
      <c r="F12" s="61">
        <v>139454</v>
      </c>
      <c r="G12" s="61">
        <v>126080</v>
      </c>
      <c r="H12" s="66">
        <v>107964</v>
      </c>
      <c r="I12" s="61">
        <v>184839</v>
      </c>
      <c r="J12" s="61">
        <v>93971</v>
      </c>
      <c r="K12" s="61">
        <v>124405</v>
      </c>
      <c r="L12" s="61">
        <v>80814</v>
      </c>
      <c r="M12" s="68">
        <v>143357</v>
      </c>
      <c r="N12" s="61">
        <f>SUM(B12:M12)</f>
        <v>1095923</v>
      </c>
      <c r="O12" s="117">
        <f>N12/12</f>
        <v>91326.916666666672</v>
      </c>
    </row>
    <row r="13" spans="1:15" s="96" customFormat="1">
      <c r="A13" s="106"/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3"/>
      <c r="N13" s="61"/>
      <c r="O13" s="117"/>
    </row>
    <row r="14" spans="1:15" s="96" customFormat="1">
      <c r="A14" s="75" t="s">
        <v>284</v>
      </c>
      <c r="B14" s="59" t="s">
        <v>182</v>
      </c>
      <c r="C14" s="59" t="s">
        <v>9</v>
      </c>
      <c r="D14" s="59" t="s">
        <v>21</v>
      </c>
      <c r="E14" s="59" t="s">
        <v>10</v>
      </c>
      <c r="F14" s="59" t="s">
        <v>11</v>
      </c>
      <c r="G14" s="59" t="s">
        <v>22</v>
      </c>
      <c r="H14" s="134" t="s">
        <v>264</v>
      </c>
      <c r="I14" s="59" t="s">
        <v>265</v>
      </c>
      <c r="J14" s="59" t="s">
        <v>217</v>
      </c>
      <c r="K14" s="59" t="s">
        <v>280</v>
      </c>
      <c r="L14" s="59" t="s">
        <v>180</v>
      </c>
      <c r="M14" s="62" t="s">
        <v>181</v>
      </c>
      <c r="N14" s="61"/>
      <c r="O14" s="117"/>
    </row>
    <row r="15" spans="1:15" s="96" customFormat="1">
      <c r="A15" s="75" t="s">
        <v>13</v>
      </c>
      <c r="B15" s="60">
        <v>192000</v>
      </c>
      <c r="C15" s="60">
        <v>184834</v>
      </c>
      <c r="D15" s="60">
        <v>227592</v>
      </c>
      <c r="E15" s="60">
        <v>273570</v>
      </c>
      <c r="F15" s="61">
        <v>180149</v>
      </c>
      <c r="G15" s="61">
        <v>930202</v>
      </c>
      <c r="H15" s="66">
        <v>79599</v>
      </c>
      <c r="I15" s="61">
        <v>133490</v>
      </c>
      <c r="J15" s="61">
        <v>214224</v>
      </c>
      <c r="K15" s="61">
        <v>98185</v>
      </c>
      <c r="L15" s="61">
        <v>170628</v>
      </c>
      <c r="M15" s="68">
        <v>139394</v>
      </c>
      <c r="N15" s="61">
        <f t="shared" ref="N15:N21" si="0">SUM(B15:M15)</f>
        <v>2823867</v>
      </c>
      <c r="O15" s="117">
        <f>N15/12</f>
        <v>235322.25</v>
      </c>
    </row>
    <row r="16" spans="1:15" s="96" customFormat="1">
      <c r="A16" s="106"/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3"/>
      <c r="N16" s="61"/>
      <c r="O16" s="117"/>
    </row>
    <row r="17" spans="1:15" s="96" customFormat="1">
      <c r="A17" s="75" t="s">
        <v>52</v>
      </c>
      <c r="B17" s="59" t="s">
        <v>182</v>
      </c>
      <c r="C17" s="59" t="s">
        <v>9</v>
      </c>
      <c r="D17" s="59" t="s">
        <v>21</v>
      </c>
      <c r="E17" s="59" t="s">
        <v>10</v>
      </c>
      <c r="F17" s="59" t="s">
        <v>11</v>
      </c>
      <c r="G17" s="59" t="s">
        <v>22</v>
      </c>
      <c r="H17" s="134" t="s">
        <v>264</v>
      </c>
      <c r="I17" s="59" t="s">
        <v>265</v>
      </c>
      <c r="J17" s="59" t="s">
        <v>217</v>
      </c>
      <c r="K17" s="59" t="s">
        <v>280</v>
      </c>
      <c r="L17" s="59" t="s">
        <v>180</v>
      </c>
      <c r="M17" s="62" t="s">
        <v>181</v>
      </c>
      <c r="N17" s="61"/>
      <c r="O17" s="117"/>
    </row>
    <row r="18" spans="1:15" s="96" customFormat="1">
      <c r="A18" s="75" t="s">
        <v>13</v>
      </c>
      <c r="B18" s="60">
        <v>130083</v>
      </c>
      <c r="C18" s="60">
        <v>270959</v>
      </c>
      <c r="D18" s="60">
        <v>198171</v>
      </c>
      <c r="E18" s="60">
        <v>201540</v>
      </c>
      <c r="F18" s="61">
        <v>162045</v>
      </c>
      <c r="G18" s="61">
        <v>254554</v>
      </c>
      <c r="H18" s="66">
        <v>127841</v>
      </c>
      <c r="I18" s="61">
        <v>189812</v>
      </c>
      <c r="J18" s="61">
        <v>174971</v>
      </c>
      <c r="K18" s="61">
        <v>182105</v>
      </c>
      <c r="L18" s="61">
        <v>228664</v>
      </c>
      <c r="M18" s="68">
        <v>209138</v>
      </c>
      <c r="N18" s="61">
        <f t="shared" si="0"/>
        <v>2329883</v>
      </c>
      <c r="O18" s="117">
        <f>N18/12</f>
        <v>194156.91666666666</v>
      </c>
    </row>
    <row r="19" spans="1:15" s="96" customFormat="1">
      <c r="A19" s="106"/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3"/>
      <c r="N19" s="61"/>
      <c r="O19" s="117"/>
    </row>
    <row r="20" spans="1:15" s="96" customFormat="1">
      <c r="A20" s="71" t="s">
        <v>53</v>
      </c>
      <c r="B20" s="63" t="s">
        <v>54</v>
      </c>
      <c r="C20" s="63" t="s">
        <v>55</v>
      </c>
      <c r="D20" s="63" t="s">
        <v>56</v>
      </c>
      <c r="E20" s="63" t="s">
        <v>218</v>
      </c>
      <c r="F20" s="63" t="s">
        <v>219</v>
      </c>
      <c r="G20" s="63" t="s">
        <v>220</v>
      </c>
      <c r="H20" s="134" t="s">
        <v>221</v>
      </c>
      <c r="I20" s="63" t="s">
        <v>266</v>
      </c>
      <c r="J20" s="63" t="s">
        <v>279</v>
      </c>
      <c r="K20" s="63" t="s">
        <v>222</v>
      </c>
      <c r="L20" s="63" t="s">
        <v>281</v>
      </c>
      <c r="M20" s="64" t="s">
        <v>282</v>
      </c>
      <c r="N20" s="61"/>
      <c r="O20" s="117"/>
    </row>
    <row r="21" spans="1:15" s="96" customFormat="1">
      <c r="A21" s="71" t="s">
        <v>224</v>
      </c>
      <c r="B21" s="65">
        <v>300235</v>
      </c>
      <c r="C21" s="65">
        <v>288273</v>
      </c>
      <c r="D21" s="65">
        <v>211819</v>
      </c>
      <c r="E21" s="65">
        <v>331901</v>
      </c>
      <c r="F21" s="61">
        <v>373881.05</v>
      </c>
      <c r="G21" s="61">
        <v>285231</v>
      </c>
      <c r="H21" s="66">
        <v>215387</v>
      </c>
      <c r="I21" s="61" t="s">
        <v>184</v>
      </c>
      <c r="J21" s="61">
        <v>304030.23</v>
      </c>
      <c r="K21" s="61">
        <v>223559</v>
      </c>
      <c r="L21" s="61">
        <v>199777</v>
      </c>
      <c r="M21" s="68">
        <v>180256.39</v>
      </c>
      <c r="N21" s="61">
        <f t="shared" si="0"/>
        <v>2914349.6700000004</v>
      </c>
      <c r="O21" s="117">
        <f>N21/12</f>
        <v>242862.47250000003</v>
      </c>
    </row>
    <row r="22" spans="1:15">
      <c r="A22" s="71"/>
      <c r="B22" s="72"/>
      <c r="C22" s="72"/>
      <c r="D22" s="72"/>
      <c r="E22" s="72"/>
      <c r="F22" s="73"/>
      <c r="G22" s="73"/>
      <c r="H22" s="74"/>
      <c r="I22" s="67"/>
      <c r="J22" s="67"/>
      <c r="K22" s="67"/>
      <c r="L22" s="67"/>
      <c r="M22" s="135"/>
      <c r="N22" s="61"/>
      <c r="O22" s="117"/>
    </row>
    <row r="23" spans="1:15">
      <c r="A23" s="71" t="s">
        <v>82</v>
      </c>
      <c r="B23" s="63" t="s">
        <v>54</v>
      </c>
      <c r="C23" s="63" t="s">
        <v>55</v>
      </c>
      <c r="D23" s="63" t="s">
        <v>56</v>
      </c>
      <c r="E23" s="63" t="s">
        <v>218</v>
      </c>
      <c r="F23" s="63" t="s">
        <v>219</v>
      </c>
      <c r="G23" s="63" t="s">
        <v>220</v>
      </c>
      <c r="H23" s="134" t="s">
        <v>221</v>
      </c>
      <c r="I23" s="63" t="s">
        <v>266</v>
      </c>
      <c r="J23" s="63" t="s">
        <v>279</v>
      </c>
      <c r="K23" s="63" t="s">
        <v>222</v>
      </c>
      <c r="L23" s="63" t="s">
        <v>281</v>
      </c>
      <c r="M23" s="64" t="s">
        <v>282</v>
      </c>
      <c r="N23" s="61"/>
      <c r="O23" s="117"/>
    </row>
    <row r="24" spans="1:15">
      <c r="A24" s="71" t="s">
        <v>224</v>
      </c>
      <c r="B24" s="65">
        <v>226072</v>
      </c>
      <c r="C24" s="65">
        <v>334941</v>
      </c>
      <c r="D24" s="65">
        <f>'[7]U4001381.csv'!$E$35</f>
        <v>280298.57</v>
      </c>
      <c r="E24" s="65">
        <f>'[8]V9501381.csv'!$E$35</f>
        <v>529724.59</v>
      </c>
      <c r="F24" s="61">
        <v>440506.3</v>
      </c>
      <c r="G24" s="61">
        <f>'[9]A9101381.csv'!$E$35</f>
        <v>456575.89</v>
      </c>
      <c r="H24" s="66">
        <f>'[10]B8401381.csv'!$E$36</f>
        <v>212929</v>
      </c>
      <c r="I24" s="61">
        <f>'[5]C9901381.csv'!$E$37</f>
        <v>203726.22</v>
      </c>
      <c r="J24" s="61">
        <v>331637</v>
      </c>
      <c r="K24" s="61">
        <v>260223</v>
      </c>
      <c r="L24" s="61">
        <v>230727</v>
      </c>
      <c r="M24" s="68">
        <f>'[6]F6401381.csv'!$E$38</f>
        <v>298840.13</v>
      </c>
      <c r="N24" s="61">
        <f>SUM(B24:M24)</f>
        <v>3806200.7</v>
      </c>
      <c r="O24" s="117">
        <f>N24/12</f>
        <v>317183.39166666666</v>
      </c>
    </row>
    <row r="25" spans="1:15">
      <c r="O25" s="117"/>
    </row>
    <row r="26" spans="1:15">
      <c r="A26" s="71" t="s">
        <v>228</v>
      </c>
      <c r="B26" s="63" t="s">
        <v>48</v>
      </c>
      <c r="C26" s="63" t="s">
        <v>119</v>
      </c>
      <c r="D26" s="63" t="s">
        <v>120</v>
      </c>
      <c r="E26" s="63" t="s">
        <v>121</v>
      </c>
      <c r="F26" s="63" t="s">
        <v>252</v>
      </c>
      <c r="G26" s="63" t="s">
        <v>34</v>
      </c>
      <c r="H26" s="134" t="s">
        <v>26</v>
      </c>
      <c r="I26" s="63" t="s">
        <v>25</v>
      </c>
      <c r="J26" s="63" t="s">
        <v>122</v>
      </c>
      <c r="K26" s="63" t="s">
        <v>123</v>
      </c>
      <c r="L26" s="63" t="s">
        <v>124</v>
      </c>
      <c r="M26" s="64" t="s">
        <v>125</v>
      </c>
      <c r="N26" s="61"/>
      <c r="O26" s="117"/>
    </row>
    <row r="27" spans="1:15">
      <c r="A27" s="71" t="s">
        <v>49</v>
      </c>
      <c r="B27" s="65">
        <v>362580</v>
      </c>
      <c r="C27" s="65">
        <v>432030</v>
      </c>
      <c r="D27" s="65">
        <v>353376</v>
      </c>
      <c r="E27" s="65">
        <v>329453</v>
      </c>
      <c r="F27" s="61">
        <v>405793</v>
      </c>
      <c r="G27" s="61">
        <v>344073</v>
      </c>
      <c r="H27" s="66">
        <v>165627</v>
      </c>
      <c r="I27" s="61">
        <v>223985</v>
      </c>
      <c r="J27" s="61">
        <v>208825</v>
      </c>
      <c r="K27" s="61">
        <v>189691</v>
      </c>
      <c r="L27" s="61">
        <v>278220</v>
      </c>
      <c r="M27" s="68">
        <v>390975</v>
      </c>
      <c r="N27" s="61">
        <f>SUM(B27:M27)</f>
        <v>3684628</v>
      </c>
      <c r="O27" s="117">
        <f>N27/12</f>
        <v>307052.33333333331</v>
      </c>
    </row>
    <row r="28" spans="1:15">
      <c r="O28" s="117"/>
    </row>
    <row r="29" spans="1:15">
      <c r="A29" s="71" t="s">
        <v>315</v>
      </c>
      <c r="B29" s="63" t="s">
        <v>48</v>
      </c>
      <c r="C29" s="63" t="s">
        <v>55</v>
      </c>
      <c r="D29" s="63" t="s">
        <v>56</v>
      </c>
      <c r="E29" s="63" t="s">
        <v>121</v>
      </c>
      <c r="F29" s="63" t="s">
        <v>78</v>
      </c>
      <c r="G29" s="63" t="s">
        <v>34</v>
      </c>
      <c r="H29" s="134" t="s">
        <v>26</v>
      </c>
      <c r="I29" s="63" t="s">
        <v>25</v>
      </c>
      <c r="J29" s="63" t="s">
        <v>122</v>
      </c>
      <c r="K29" s="63" t="s">
        <v>40</v>
      </c>
      <c r="L29" s="63" t="s">
        <v>41</v>
      </c>
      <c r="M29" s="64" t="s">
        <v>125</v>
      </c>
      <c r="N29" s="61"/>
      <c r="O29" s="117"/>
    </row>
    <row r="30" spans="1:15">
      <c r="A30" s="71" t="s">
        <v>49</v>
      </c>
      <c r="B30" s="65">
        <v>324494</v>
      </c>
      <c r="C30" s="65">
        <v>137411</v>
      </c>
      <c r="D30" s="65">
        <v>334572</v>
      </c>
      <c r="E30" s="65">
        <v>292663</v>
      </c>
      <c r="F30" s="61">
        <v>346752</v>
      </c>
      <c r="G30" s="61">
        <v>315355</v>
      </c>
      <c r="H30" s="66">
        <v>141660</v>
      </c>
      <c r="I30" s="61">
        <v>243980</v>
      </c>
      <c r="J30" s="61">
        <v>154886</v>
      </c>
      <c r="K30" s="61">
        <v>340790</v>
      </c>
      <c r="L30" s="61">
        <v>249693</v>
      </c>
      <c r="M30" s="68">
        <v>434880</v>
      </c>
      <c r="N30" s="61">
        <f>SUM(B30:M30)</f>
        <v>3317136</v>
      </c>
      <c r="O30" s="117">
        <f>N30/12</f>
        <v>276428</v>
      </c>
    </row>
    <row r="32" spans="1:15">
      <c r="A32" s="71" t="s">
        <v>324</v>
      </c>
      <c r="B32" s="63" t="s">
        <v>48</v>
      </c>
      <c r="C32" s="63" t="s">
        <v>55</v>
      </c>
      <c r="D32" s="63" t="s">
        <v>56</v>
      </c>
      <c r="E32" s="63" t="s">
        <v>121</v>
      </c>
      <c r="F32" s="63" t="s">
        <v>78</v>
      </c>
      <c r="G32" s="63" t="s">
        <v>34</v>
      </c>
      <c r="H32" s="134" t="s">
        <v>26</v>
      </c>
      <c r="I32" s="63" t="s">
        <v>25</v>
      </c>
      <c r="J32" s="63" t="s">
        <v>122</v>
      </c>
      <c r="K32" s="63" t="s">
        <v>40</v>
      </c>
      <c r="L32" s="63" t="s">
        <v>41</v>
      </c>
      <c r="M32" s="64" t="s">
        <v>125</v>
      </c>
      <c r="N32" s="61"/>
      <c r="O32" s="117"/>
    </row>
    <row r="33" spans="1:15">
      <c r="A33" s="71" t="s">
        <v>49</v>
      </c>
      <c r="B33" s="65">
        <v>324458</v>
      </c>
      <c r="C33" s="65">
        <v>370726</v>
      </c>
      <c r="D33" s="65">
        <v>366861</v>
      </c>
      <c r="E33" s="65">
        <v>194486</v>
      </c>
      <c r="F33" s="61">
        <v>336500</v>
      </c>
      <c r="G33" s="61">
        <v>433785</v>
      </c>
      <c r="H33" s="66">
        <v>192717</v>
      </c>
      <c r="I33" s="61">
        <v>234787</v>
      </c>
      <c r="J33" s="61">
        <v>143486</v>
      </c>
      <c r="K33" s="61">
        <v>117718</v>
      </c>
      <c r="L33" s="61">
        <v>257222</v>
      </c>
      <c r="M33" s="68"/>
      <c r="N33" s="61">
        <f>SUM(B33:M33)</f>
        <v>2972746</v>
      </c>
      <c r="O33" s="117">
        <f>N33/11</f>
        <v>270249.63636363635</v>
      </c>
    </row>
  </sheetData>
  <mergeCells count="1">
    <mergeCell ref="A1:XFD9"/>
  </mergeCells>
  <phoneticPr fontId="3" type="noConversion"/>
  <pageMargins left="0.19685039370078741" right="0.15944881889763785" top="0.75" bottom="0.75" header="0.5" footer="0.5"/>
  <pageSetup paperSize="9" orientation="landscape" horizontalDpi="4294967292" verticalDpi="429496729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O33"/>
  <sheetViews>
    <sheetView topLeftCell="A22" workbookViewId="0">
      <selection activeCell="O34" sqref="O34"/>
    </sheetView>
  </sheetViews>
  <sheetFormatPr defaultColWidth="11.140625" defaultRowHeight="12"/>
  <cols>
    <col min="1" max="1" width="8.140625" style="139" customWidth="1"/>
    <col min="2" max="13" width="8.7109375" style="139" customWidth="1"/>
    <col min="14" max="15" width="9.5703125" style="139" customWidth="1"/>
    <col min="16" max="16384" width="11.140625" style="139"/>
  </cols>
  <sheetData>
    <row r="1" spans="1:15" s="362" customFormat="1" ht="12.75"/>
    <row r="2" spans="1:15" s="362" customFormat="1" ht="12.75"/>
    <row r="3" spans="1:15" s="362" customFormat="1" ht="12.75"/>
    <row r="4" spans="1:15" s="362" customFormat="1" ht="12.75"/>
    <row r="5" spans="1:15" s="362" customFormat="1" ht="12.75"/>
    <row r="6" spans="1:15" s="362" customFormat="1" ht="12.75"/>
    <row r="7" spans="1:15" s="362" customFormat="1" ht="12.75"/>
    <row r="8" spans="1:15" s="362" customFormat="1" ht="12.75"/>
    <row r="9" spans="1:15" s="362" customFormat="1" ht="12.75"/>
    <row r="11" spans="1:15">
      <c r="A11" s="330" t="s">
        <v>200</v>
      </c>
      <c r="B11" s="331" t="s">
        <v>182</v>
      </c>
      <c r="C11" s="331" t="s">
        <v>9</v>
      </c>
      <c r="D11" s="331" t="s">
        <v>21</v>
      </c>
      <c r="E11" s="331" t="s">
        <v>10</v>
      </c>
      <c r="F11" s="331" t="s">
        <v>11</v>
      </c>
      <c r="G11" s="331" t="s">
        <v>22</v>
      </c>
      <c r="H11" s="332" t="s">
        <v>264</v>
      </c>
      <c r="I11" s="331" t="s">
        <v>265</v>
      </c>
      <c r="J11" s="331" t="s">
        <v>217</v>
      </c>
      <c r="K11" s="331" t="s">
        <v>280</v>
      </c>
      <c r="L11" s="331" t="s">
        <v>180</v>
      </c>
      <c r="M11" s="331" t="s">
        <v>181</v>
      </c>
      <c r="N11" s="333" t="s">
        <v>201</v>
      </c>
      <c r="O11" s="333" t="s">
        <v>202</v>
      </c>
    </row>
    <row r="12" spans="1:15">
      <c r="A12" s="330" t="s">
        <v>13</v>
      </c>
      <c r="B12" s="334">
        <v>834857</v>
      </c>
      <c r="C12" s="334">
        <v>773689</v>
      </c>
      <c r="D12" s="334">
        <v>603552</v>
      </c>
      <c r="E12" s="334">
        <v>955028</v>
      </c>
      <c r="F12" s="335">
        <v>944134</v>
      </c>
      <c r="G12" s="335">
        <v>815177</v>
      </c>
      <c r="H12" s="336">
        <v>909795</v>
      </c>
      <c r="I12" s="335">
        <v>873052</v>
      </c>
      <c r="J12" s="335">
        <v>524602</v>
      </c>
      <c r="K12" s="335">
        <v>935263</v>
      </c>
      <c r="L12" s="335">
        <v>928061</v>
      </c>
      <c r="M12" s="337">
        <v>965360</v>
      </c>
      <c r="N12" s="335">
        <f>SUM(B12:M12)</f>
        <v>10062570</v>
      </c>
      <c r="O12" s="338">
        <f>N12/12</f>
        <v>838547.5</v>
      </c>
    </row>
    <row r="13" spans="1:15">
      <c r="A13" s="339"/>
      <c r="B13" s="339"/>
      <c r="C13" s="339"/>
      <c r="D13" s="339"/>
      <c r="E13" s="339"/>
      <c r="F13" s="339"/>
      <c r="G13" s="339"/>
      <c r="H13" s="339"/>
      <c r="I13" s="339"/>
      <c r="J13" s="339"/>
      <c r="K13" s="339"/>
      <c r="L13" s="339"/>
      <c r="M13" s="340"/>
      <c r="N13" s="335"/>
      <c r="O13" s="338"/>
    </row>
    <row r="14" spans="1:15">
      <c r="A14" s="330" t="s">
        <v>284</v>
      </c>
      <c r="B14" s="331" t="s">
        <v>182</v>
      </c>
      <c r="C14" s="331" t="s">
        <v>9</v>
      </c>
      <c r="D14" s="331" t="s">
        <v>21</v>
      </c>
      <c r="E14" s="331" t="s">
        <v>10</v>
      </c>
      <c r="F14" s="331" t="s">
        <v>11</v>
      </c>
      <c r="G14" s="331" t="s">
        <v>22</v>
      </c>
      <c r="H14" s="332" t="s">
        <v>264</v>
      </c>
      <c r="I14" s="331" t="s">
        <v>265</v>
      </c>
      <c r="J14" s="331" t="s">
        <v>217</v>
      </c>
      <c r="K14" s="331" t="s">
        <v>280</v>
      </c>
      <c r="L14" s="331" t="s">
        <v>180</v>
      </c>
      <c r="M14" s="341" t="s">
        <v>181</v>
      </c>
      <c r="N14" s="335"/>
      <c r="O14" s="338"/>
    </row>
    <row r="15" spans="1:15" ht="14.1" customHeight="1">
      <c r="A15" s="330" t="s">
        <v>13</v>
      </c>
      <c r="B15" s="334">
        <v>707822</v>
      </c>
      <c r="C15" s="334">
        <v>559664</v>
      </c>
      <c r="D15" s="334">
        <v>1169508</v>
      </c>
      <c r="E15" s="334">
        <v>947785</v>
      </c>
      <c r="F15" s="335">
        <v>1083060</v>
      </c>
      <c r="G15" s="335">
        <v>930202</v>
      </c>
      <c r="H15" s="336">
        <v>650103</v>
      </c>
      <c r="I15" s="335">
        <v>863996</v>
      </c>
      <c r="J15" s="335">
        <v>486932</v>
      </c>
      <c r="K15" s="335">
        <v>1012322</v>
      </c>
      <c r="L15" s="335">
        <v>756074</v>
      </c>
      <c r="M15" s="337">
        <v>622459</v>
      </c>
      <c r="N15" s="335">
        <f t="shared" ref="N15:N21" si="0">SUM(B15:M15)</f>
        <v>9789927</v>
      </c>
      <c r="O15" s="338">
        <f>N15/12</f>
        <v>815827.25</v>
      </c>
    </row>
    <row r="16" spans="1:15">
      <c r="A16" s="339"/>
      <c r="B16" s="339"/>
      <c r="C16" s="339"/>
      <c r="D16" s="339"/>
      <c r="E16" s="339"/>
      <c r="F16" s="339"/>
      <c r="G16" s="339"/>
      <c r="H16" s="339"/>
      <c r="I16" s="339"/>
      <c r="J16" s="339"/>
      <c r="K16" s="339"/>
      <c r="L16" s="339"/>
      <c r="M16" s="340"/>
      <c r="N16" s="335"/>
      <c r="O16" s="338"/>
    </row>
    <row r="17" spans="1:15">
      <c r="A17" s="330" t="s">
        <v>134</v>
      </c>
      <c r="B17" s="331" t="s">
        <v>182</v>
      </c>
      <c r="C17" s="331" t="s">
        <v>9</v>
      </c>
      <c r="D17" s="331" t="s">
        <v>21</v>
      </c>
      <c r="E17" s="331" t="s">
        <v>10</v>
      </c>
      <c r="F17" s="331" t="s">
        <v>11</v>
      </c>
      <c r="G17" s="331" t="s">
        <v>22</v>
      </c>
      <c r="H17" s="332" t="s">
        <v>264</v>
      </c>
      <c r="I17" s="331" t="s">
        <v>265</v>
      </c>
      <c r="J17" s="331" t="s">
        <v>217</v>
      </c>
      <c r="K17" s="331" t="s">
        <v>280</v>
      </c>
      <c r="L17" s="331" t="s">
        <v>180</v>
      </c>
      <c r="M17" s="341" t="s">
        <v>181</v>
      </c>
      <c r="N17" s="335"/>
      <c r="O17" s="338"/>
    </row>
    <row r="18" spans="1:15">
      <c r="A18" s="330" t="s">
        <v>13</v>
      </c>
      <c r="B18" s="334">
        <v>989541</v>
      </c>
      <c r="C18" s="334">
        <v>626117</v>
      </c>
      <c r="D18" s="334">
        <v>392725</v>
      </c>
      <c r="E18" s="334">
        <v>910157</v>
      </c>
      <c r="F18" s="335">
        <v>734495</v>
      </c>
      <c r="G18" s="335">
        <v>821974</v>
      </c>
      <c r="H18" s="336">
        <v>944947</v>
      </c>
      <c r="I18" s="335">
        <v>727033</v>
      </c>
      <c r="J18" s="335">
        <v>753815</v>
      </c>
      <c r="K18" s="335">
        <v>527086</v>
      </c>
      <c r="L18" s="335">
        <v>819220</v>
      </c>
      <c r="M18" s="337">
        <v>716550</v>
      </c>
      <c r="N18" s="335">
        <f t="shared" si="0"/>
        <v>8963660</v>
      </c>
      <c r="O18" s="338">
        <f>N18/12</f>
        <v>746971.66666666663</v>
      </c>
    </row>
    <row r="19" spans="1:15">
      <c r="A19" s="339"/>
      <c r="B19" s="339"/>
      <c r="C19" s="339"/>
      <c r="D19" s="339"/>
      <c r="E19" s="339"/>
      <c r="F19" s="339"/>
      <c r="G19" s="339"/>
      <c r="H19" s="339"/>
      <c r="I19" s="339"/>
      <c r="J19" s="339"/>
      <c r="K19" s="339"/>
      <c r="L19" s="339"/>
      <c r="M19" s="340"/>
      <c r="N19" s="335"/>
      <c r="O19" s="338"/>
    </row>
    <row r="20" spans="1:15">
      <c r="A20" s="342" t="s">
        <v>47</v>
      </c>
      <c r="B20" s="343" t="s">
        <v>48</v>
      </c>
      <c r="C20" s="343" t="s">
        <v>119</v>
      </c>
      <c r="D20" s="343" t="s">
        <v>120</v>
      </c>
      <c r="E20" s="343" t="s">
        <v>121</v>
      </c>
      <c r="F20" s="343" t="s">
        <v>252</v>
      </c>
      <c r="G20" s="343" t="s">
        <v>143</v>
      </c>
      <c r="H20" s="332" t="s">
        <v>144</v>
      </c>
      <c r="I20" s="343" t="s">
        <v>145</v>
      </c>
      <c r="J20" s="343" t="s">
        <v>122</v>
      </c>
      <c r="K20" s="343" t="s">
        <v>123</v>
      </c>
      <c r="L20" s="343" t="s">
        <v>124</v>
      </c>
      <c r="M20" s="344" t="s">
        <v>125</v>
      </c>
      <c r="N20" s="335"/>
      <c r="O20" s="338"/>
    </row>
    <row r="21" spans="1:15">
      <c r="A21" s="342" t="s">
        <v>49</v>
      </c>
      <c r="B21" s="345">
        <v>864085</v>
      </c>
      <c r="C21" s="345">
        <v>784047</v>
      </c>
      <c r="D21" s="345">
        <v>1016240</v>
      </c>
      <c r="E21" s="345">
        <v>1051647.5900000001</v>
      </c>
      <c r="F21" s="335">
        <v>1063340.9099999999</v>
      </c>
      <c r="G21" s="335">
        <v>1159362.1299999999</v>
      </c>
      <c r="H21" s="336">
        <v>977575</v>
      </c>
      <c r="I21" s="335">
        <v>953100.91</v>
      </c>
      <c r="J21" s="335">
        <v>677353.76</v>
      </c>
      <c r="K21" s="335">
        <v>793181</v>
      </c>
      <c r="L21" s="335">
        <v>731856</v>
      </c>
      <c r="M21" s="337">
        <v>489601.24</v>
      </c>
      <c r="N21" s="335">
        <f t="shared" si="0"/>
        <v>10561390.540000001</v>
      </c>
      <c r="O21" s="338">
        <f>N21/12</f>
        <v>880115.87833333341</v>
      </c>
    </row>
    <row r="22" spans="1:15">
      <c r="A22" s="346"/>
      <c r="B22" s="346"/>
      <c r="C22" s="346"/>
      <c r="D22" s="346"/>
      <c r="E22" s="346"/>
      <c r="F22" s="346"/>
      <c r="G22" s="346"/>
      <c r="H22" s="346"/>
      <c r="I22" s="346"/>
      <c r="J22" s="346"/>
      <c r="K22" s="346"/>
      <c r="L22" s="346"/>
      <c r="M22" s="346"/>
      <c r="N22" s="347"/>
      <c r="O22" s="338"/>
    </row>
    <row r="23" spans="1:15">
      <c r="A23" s="348" t="s">
        <v>74</v>
      </c>
      <c r="B23" s="343" t="s">
        <v>48</v>
      </c>
      <c r="C23" s="343" t="s">
        <v>119</v>
      </c>
      <c r="D23" s="343" t="s">
        <v>120</v>
      </c>
      <c r="E23" s="343" t="s">
        <v>121</v>
      </c>
      <c r="F23" s="343" t="s">
        <v>252</v>
      </c>
      <c r="G23" s="343" t="s">
        <v>143</v>
      </c>
      <c r="H23" s="332" t="s">
        <v>144</v>
      </c>
      <c r="I23" s="343" t="s">
        <v>145</v>
      </c>
      <c r="J23" s="343" t="s">
        <v>122</v>
      </c>
      <c r="K23" s="343" t="s">
        <v>123</v>
      </c>
      <c r="L23" s="343" t="s">
        <v>124</v>
      </c>
      <c r="M23" s="344" t="s">
        <v>125</v>
      </c>
      <c r="N23" s="335"/>
      <c r="O23" s="338"/>
    </row>
    <row r="24" spans="1:15">
      <c r="A24" s="342" t="s">
        <v>49</v>
      </c>
      <c r="B24" s="345">
        <v>663328</v>
      </c>
      <c r="C24" s="345">
        <v>663824</v>
      </c>
      <c r="D24" s="345">
        <f>'[7]U4001381.csv'!$E$36</f>
        <v>1124256.77</v>
      </c>
      <c r="E24" s="345">
        <f>'[8]V9501381.csv'!$E$36</f>
        <v>705493.5</v>
      </c>
      <c r="F24" s="335">
        <v>883710.59</v>
      </c>
      <c r="G24" s="335">
        <f>'[9]A9101381.csv'!$E$36</f>
        <v>754397.9</v>
      </c>
      <c r="H24" s="336">
        <f>'[10]B8401381.csv'!$E$37</f>
        <v>1085762.5600000001</v>
      </c>
      <c r="I24" s="335">
        <f>'[5]C9901381.csv'!$E$38</f>
        <v>815032.99</v>
      </c>
      <c r="J24" s="335">
        <v>1009021.7</v>
      </c>
      <c r="K24" s="335">
        <v>800002</v>
      </c>
      <c r="L24" s="335">
        <v>763756</v>
      </c>
      <c r="M24" s="337">
        <f>'[6]F6401381.csv'!$E$39</f>
        <v>561616.69999999995</v>
      </c>
      <c r="N24" s="335">
        <f>SUM(B24:M24)</f>
        <v>9830202.7100000009</v>
      </c>
      <c r="O24" s="338">
        <f>N24/12</f>
        <v>819183.5591666667</v>
      </c>
    </row>
    <row r="25" spans="1:15">
      <c r="O25" s="338"/>
    </row>
    <row r="26" spans="1:15">
      <c r="A26" s="349" t="s">
        <v>228</v>
      </c>
      <c r="B26" s="350" t="s">
        <v>48</v>
      </c>
      <c r="C26" s="350" t="s">
        <v>119</v>
      </c>
      <c r="D26" s="350" t="s">
        <v>120</v>
      </c>
      <c r="E26" s="350" t="s">
        <v>121</v>
      </c>
      <c r="F26" s="350" t="s">
        <v>252</v>
      </c>
      <c r="G26" s="350" t="s">
        <v>34</v>
      </c>
      <c r="H26" s="351" t="s">
        <v>26</v>
      </c>
      <c r="I26" s="350" t="s">
        <v>25</v>
      </c>
      <c r="J26" s="350" t="s">
        <v>122</v>
      </c>
      <c r="K26" s="350" t="s">
        <v>123</v>
      </c>
      <c r="L26" s="350" t="s">
        <v>124</v>
      </c>
      <c r="M26" s="352" t="s">
        <v>125</v>
      </c>
      <c r="N26" s="353"/>
      <c r="O26" s="338"/>
    </row>
    <row r="27" spans="1:15">
      <c r="A27" s="354" t="s">
        <v>49</v>
      </c>
      <c r="B27" s="355">
        <v>641444</v>
      </c>
      <c r="C27" s="355">
        <v>887442</v>
      </c>
      <c r="D27" s="355">
        <v>820286</v>
      </c>
      <c r="E27" s="355">
        <v>795879</v>
      </c>
      <c r="F27" s="356">
        <v>886989</v>
      </c>
      <c r="G27" s="356">
        <v>926541</v>
      </c>
      <c r="H27" s="357">
        <v>916936</v>
      </c>
      <c r="I27" s="356">
        <v>895241</v>
      </c>
      <c r="J27" s="356">
        <v>767074</v>
      </c>
      <c r="K27" s="356">
        <v>665110</v>
      </c>
      <c r="L27" s="356">
        <v>650919</v>
      </c>
      <c r="M27" s="358">
        <v>618276</v>
      </c>
      <c r="N27" s="356">
        <f>SUM(B27:M27)</f>
        <v>9472137</v>
      </c>
      <c r="O27" s="338">
        <f>N27/12</f>
        <v>789344.75</v>
      </c>
    </row>
    <row r="28" spans="1:15">
      <c r="O28" s="338"/>
    </row>
    <row r="29" spans="1:15">
      <c r="A29" s="349" t="s">
        <v>315</v>
      </c>
      <c r="B29" s="350" t="s">
        <v>48</v>
      </c>
      <c r="C29" s="350" t="s">
        <v>55</v>
      </c>
      <c r="D29" s="350" t="s">
        <v>56</v>
      </c>
      <c r="E29" s="350" t="s">
        <v>121</v>
      </c>
      <c r="F29" s="350" t="s">
        <v>78</v>
      </c>
      <c r="G29" s="350" t="s">
        <v>34</v>
      </c>
      <c r="H29" s="351" t="s">
        <v>26</v>
      </c>
      <c r="I29" s="350" t="s">
        <v>25</v>
      </c>
      <c r="J29" s="350" t="s">
        <v>122</v>
      </c>
      <c r="K29" s="350" t="s">
        <v>40</v>
      </c>
      <c r="L29" s="350" t="s">
        <v>41</v>
      </c>
      <c r="M29" s="352" t="s">
        <v>125</v>
      </c>
      <c r="N29" s="353"/>
      <c r="O29" s="338"/>
    </row>
    <row r="30" spans="1:15">
      <c r="A30" s="354" t="s">
        <v>49</v>
      </c>
      <c r="B30" s="355">
        <v>850902</v>
      </c>
      <c r="C30" s="355">
        <v>541613</v>
      </c>
      <c r="D30" s="355">
        <v>767694</v>
      </c>
      <c r="E30" s="355">
        <v>1154631</v>
      </c>
      <c r="F30" s="356">
        <v>752991</v>
      </c>
      <c r="G30" s="356">
        <v>1321093</v>
      </c>
      <c r="H30" s="357">
        <v>914718</v>
      </c>
      <c r="I30" s="356">
        <v>576305</v>
      </c>
      <c r="J30" s="356">
        <v>575290</v>
      </c>
      <c r="K30" s="356">
        <v>971513</v>
      </c>
      <c r="L30" s="356">
        <v>726193</v>
      </c>
      <c r="M30" s="358">
        <v>670032</v>
      </c>
      <c r="N30" s="356">
        <f>SUM(B30:M30)</f>
        <v>9822975</v>
      </c>
      <c r="O30" s="338">
        <f>N30/12</f>
        <v>818581.25</v>
      </c>
    </row>
    <row r="32" spans="1:15">
      <c r="A32" s="349" t="s">
        <v>324</v>
      </c>
      <c r="B32" s="350" t="s">
        <v>48</v>
      </c>
      <c r="C32" s="350" t="s">
        <v>55</v>
      </c>
      <c r="D32" s="350" t="s">
        <v>56</v>
      </c>
      <c r="E32" s="350" t="s">
        <v>121</v>
      </c>
      <c r="F32" s="350" t="s">
        <v>78</v>
      </c>
      <c r="G32" s="350" t="s">
        <v>34</v>
      </c>
      <c r="H32" s="351" t="s">
        <v>26</v>
      </c>
      <c r="I32" s="350" t="s">
        <v>25</v>
      </c>
      <c r="J32" s="350" t="s">
        <v>122</v>
      </c>
      <c r="K32" s="350" t="s">
        <v>40</v>
      </c>
      <c r="L32" s="350" t="s">
        <v>41</v>
      </c>
      <c r="M32" s="352" t="s">
        <v>125</v>
      </c>
      <c r="N32" s="353"/>
      <c r="O32" s="338"/>
    </row>
    <row r="33" spans="1:15">
      <c r="A33" s="354" t="s">
        <v>49</v>
      </c>
      <c r="B33" s="355">
        <v>577096</v>
      </c>
      <c r="C33" s="355">
        <v>735626</v>
      </c>
      <c r="D33" s="355">
        <v>889226</v>
      </c>
      <c r="E33" s="355">
        <v>787350</v>
      </c>
      <c r="F33" s="356">
        <v>671752</v>
      </c>
      <c r="G33" s="356">
        <v>569417</v>
      </c>
      <c r="H33" s="357">
        <v>562539</v>
      </c>
      <c r="I33" s="356">
        <v>549974</v>
      </c>
      <c r="J33" s="356">
        <v>724960</v>
      </c>
      <c r="K33" s="356">
        <v>180568</v>
      </c>
      <c r="L33" s="356">
        <v>802153</v>
      </c>
      <c r="M33" s="358"/>
      <c r="N33" s="356">
        <f>SUM(B33:M33)</f>
        <v>7050661</v>
      </c>
      <c r="O33" s="338">
        <f>N33/11</f>
        <v>640969.18181818177</v>
      </c>
    </row>
  </sheetData>
  <mergeCells count="1">
    <mergeCell ref="A1:XFD9"/>
  </mergeCells>
  <phoneticPr fontId="3" type="noConversion"/>
  <pageMargins left="0.15944881889763785" right="0.15944881889763785" top="0.75" bottom="0.75" header="0.5" footer="0.5"/>
  <pageSetup paperSize="9" orientation="landscape" horizontalDpi="4294967292" verticalDpi="429496729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O46"/>
  <sheetViews>
    <sheetView topLeftCell="A27" workbookViewId="0">
      <selection activeCell="O45" sqref="O45"/>
    </sheetView>
  </sheetViews>
  <sheetFormatPr defaultColWidth="10.85546875" defaultRowHeight="12"/>
  <cols>
    <col min="1" max="1" width="10.85546875" style="2"/>
    <col min="2" max="13" width="8.140625" style="2" customWidth="1"/>
    <col min="14" max="14" width="9.85546875" style="2" customWidth="1"/>
    <col min="15" max="15" width="11" style="2" bestFit="1" customWidth="1"/>
    <col min="16" max="16384" width="10.85546875" style="2"/>
  </cols>
  <sheetData>
    <row r="1" spans="1:15" s="371" customFormat="1" ht="12" customHeight="1"/>
    <row r="2" spans="1:15" s="371" customFormat="1" ht="12" customHeight="1"/>
    <row r="3" spans="1:15" s="371" customFormat="1" ht="12" customHeight="1"/>
    <row r="4" spans="1:15" s="371" customFormat="1" ht="12" customHeight="1"/>
    <row r="5" spans="1:15" s="371" customFormat="1" ht="12" customHeight="1"/>
    <row r="6" spans="1:15" s="371" customFormat="1" ht="12" customHeight="1"/>
    <row r="7" spans="1:15" s="371" customFormat="1" ht="12" customHeight="1"/>
    <row r="8" spans="1:15" s="371" customFormat="1" ht="12" customHeight="1"/>
    <row r="9" spans="1:15" s="371" customFormat="1" ht="12" customHeight="1"/>
    <row r="11" spans="1:1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9"/>
      <c r="O11" s="22"/>
    </row>
    <row r="12" spans="1:15">
      <c r="A12" s="3" t="s">
        <v>262</v>
      </c>
      <c r="B12" s="4" t="s">
        <v>182</v>
      </c>
      <c r="C12" s="4" t="s">
        <v>9</v>
      </c>
      <c r="D12" s="4" t="s">
        <v>21</v>
      </c>
      <c r="E12" s="4" t="s">
        <v>10</v>
      </c>
      <c r="F12" s="4" t="s">
        <v>11</v>
      </c>
      <c r="G12" s="4" t="s">
        <v>22</v>
      </c>
      <c r="H12" s="31" t="s">
        <v>264</v>
      </c>
      <c r="I12" s="4" t="s">
        <v>265</v>
      </c>
      <c r="J12" s="4" t="s">
        <v>217</v>
      </c>
      <c r="K12" s="4" t="s">
        <v>280</v>
      </c>
      <c r="L12" s="4" t="s">
        <v>180</v>
      </c>
      <c r="M12" s="4" t="s">
        <v>181</v>
      </c>
      <c r="N12" s="33" t="s">
        <v>206</v>
      </c>
      <c r="O12" s="43" t="s">
        <v>207</v>
      </c>
    </row>
    <row r="13" spans="1:15">
      <c r="A13" s="3" t="s">
        <v>12</v>
      </c>
      <c r="B13" s="23">
        <v>15770</v>
      </c>
      <c r="C13" s="23">
        <v>10293</v>
      </c>
      <c r="D13" s="23">
        <v>10789</v>
      </c>
      <c r="E13" s="23">
        <v>19948</v>
      </c>
      <c r="F13" s="42">
        <v>20212</v>
      </c>
      <c r="G13" s="42">
        <v>13193</v>
      </c>
      <c r="H13" s="44">
        <v>7648</v>
      </c>
      <c r="I13" s="42">
        <v>8200</v>
      </c>
      <c r="J13" s="42">
        <v>9086</v>
      </c>
      <c r="K13" s="42">
        <v>11250</v>
      </c>
      <c r="L13" s="42">
        <v>13396</v>
      </c>
      <c r="M13" s="42">
        <v>13198</v>
      </c>
      <c r="N13" s="26">
        <f t="shared" ref="N13:N22" si="0">SUM(B13:M13)</f>
        <v>152983</v>
      </c>
      <c r="O13" s="38">
        <f t="shared" ref="O13:O38" si="1">N13/12</f>
        <v>12748.583333333334</v>
      </c>
    </row>
    <row r="14" spans="1:15">
      <c r="A14" s="3" t="s">
        <v>13</v>
      </c>
      <c r="B14" s="14">
        <v>274880</v>
      </c>
      <c r="C14" s="14">
        <v>233645</v>
      </c>
      <c r="D14" s="14">
        <v>172640</v>
      </c>
      <c r="E14" s="14">
        <v>219663</v>
      </c>
      <c r="F14" s="25">
        <v>386584</v>
      </c>
      <c r="G14" s="25">
        <v>151591</v>
      </c>
      <c r="H14" s="29">
        <v>275559</v>
      </c>
      <c r="I14" s="25">
        <v>250872</v>
      </c>
      <c r="J14" s="25">
        <v>173300</v>
      </c>
      <c r="K14" s="25">
        <v>296700</v>
      </c>
      <c r="L14" s="25">
        <v>192849</v>
      </c>
      <c r="M14" s="25">
        <v>205634</v>
      </c>
      <c r="N14" s="25">
        <f t="shared" si="0"/>
        <v>2833917</v>
      </c>
      <c r="O14" s="38">
        <f t="shared" si="1"/>
        <v>236159.75</v>
      </c>
    </row>
    <row r="15" spans="1:15">
      <c r="A15" s="3"/>
      <c r="B15" s="11"/>
      <c r="C15" s="11"/>
      <c r="D15" s="11"/>
      <c r="E15" s="11"/>
      <c r="F15" s="33"/>
      <c r="G15" s="33"/>
      <c r="H15" s="34"/>
      <c r="I15" s="35"/>
      <c r="J15" s="35"/>
      <c r="K15" s="35"/>
      <c r="L15" s="35"/>
      <c r="M15" s="35"/>
      <c r="N15" s="26"/>
      <c r="O15" s="38"/>
    </row>
    <row r="16" spans="1:15">
      <c r="A16" s="3" t="s">
        <v>283</v>
      </c>
      <c r="B16" s="13">
        <f>B14/B13</f>
        <v>17.430564362714016</v>
      </c>
      <c r="C16" s="13">
        <f t="shared" ref="C16:M16" si="2">C14/C13</f>
        <v>22.699407364228115</v>
      </c>
      <c r="D16" s="13">
        <f t="shared" si="2"/>
        <v>16.001482991936232</v>
      </c>
      <c r="E16" s="13">
        <f t="shared" si="2"/>
        <v>11.011780629637057</v>
      </c>
      <c r="F16" s="13">
        <f t="shared" si="2"/>
        <v>19.126459528992676</v>
      </c>
      <c r="G16" s="13">
        <f t="shared" si="2"/>
        <v>11.490259986356401</v>
      </c>
      <c r="H16" s="13">
        <f t="shared" si="2"/>
        <v>36.0302039748954</v>
      </c>
      <c r="I16" s="13">
        <f>I14/I13</f>
        <v>30.594146341463414</v>
      </c>
      <c r="J16" s="13">
        <f t="shared" si="2"/>
        <v>19.073299581774158</v>
      </c>
      <c r="K16" s="13">
        <f t="shared" si="2"/>
        <v>26.373333333333335</v>
      </c>
      <c r="L16" s="13">
        <f t="shared" si="2"/>
        <v>14.396013735443416</v>
      </c>
      <c r="M16" s="13">
        <f t="shared" si="2"/>
        <v>15.580694044552205</v>
      </c>
      <c r="N16" s="38">
        <f t="shared" si="0"/>
        <v>239.80764587532644</v>
      </c>
      <c r="O16" s="38">
        <f t="shared" si="1"/>
        <v>19.983970489610538</v>
      </c>
    </row>
    <row r="17" spans="1:15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26"/>
      <c r="O17" s="38"/>
    </row>
    <row r="18" spans="1:15">
      <c r="A18" s="5" t="s">
        <v>53</v>
      </c>
      <c r="B18" s="6" t="s">
        <v>54</v>
      </c>
      <c r="C18" s="6" t="s">
        <v>55</v>
      </c>
      <c r="D18" s="6" t="s">
        <v>56</v>
      </c>
      <c r="E18" s="6" t="s">
        <v>218</v>
      </c>
      <c r="F18" s="6" t="s">
        <v>219</v>
      </c>
      <c r="G18" s="6" t="s">
        <v>220</v>
      </c>
      <c r="H18" s="31" t="s">
        <v>221</v>
      </c>
      <c r="I18" s="6" t="s">
        <v>266</v>
      </c>
      <c r="J18" s="6" t="s">
        <v>279</v>
      </c>
      <c r="K18" s="6" t="s">
        <v>222</v>
      </c>
      <c r="L18" s="6" t="s">
        <v>281</v>
      </c>
      <c r="M18" s="6" t="s">
        <v>282</v>
      </c>
      <c r="N18" s="26"/>
      <c r="O18" s="38"/>
    </row>
    <row r="19" spans="1:15">
      <c r="A19" s="5" t="s">
        <v>223</v>
      </c>
      <c r="B19" s="7">
        <v>8871</v>
      </c>
      <c r="C19" s="7">
        <v>11945</v>
      </c>
      <c r="D19" s="7">
        <v>13131</v>
      </c>
      <c r="E19" s="7">
        <v>10616</v>
      </c>
      <c r="F19" s="26">
        <v>13206</v>
      </c>
      <c r="G19" s="26">
        <v>8234</v>
      </c>
      <c r="H19" s="27">
        <v>4755</v>
      </c>
      <c r="I19" s="30">
        <v>5113</v>
      </c>
      <c r="J19" s="30">
        <v>13413</v>
      </c>
      <c r="K19" s="30">
        <v>13922</v>
      </c>
      <c r="L19" s="30">
        <v>9774</v>
      </c>
      <c r="M19" s="30">
        <v>4826</v>
      </c>
      <c r="N19" s="26">
        <f t="shared" si="0"/>
        <v>117806</v>
      </c>
      <c r="O19" s="38">
        <f t="shared" si="1"/>
        <v>9817.1666666666661</v>
      </c>
    </row>
    <row r="20" spans="1:15">
      <c r="A20" s="5" t="s">
        <v>224</v>
      </c>
      <c r="B20" s="16">
        <v>318382</v>
      </c>
      <c r="C20" s="16">
        <v>379487</v>
      </c>
      <c r="D20" s="16">
        <v>200838</v>
      </c>
      <c r="E20" s="16">
        <v>163055.14000000001</v>
      </c>
      <c r="F20" s="25">
        <v>402073.16</v>
      </c>
      <c r="G20" s="25">
        <v>255211.68</v>
      </c>
      <c r="H20" s="29">
        <v>71771</v>
      </c>
      <c r="I20" s="25">
        <v>147691.87</v>
      </c>
      <c r="J20" s="25">
        <v>186088.4</v>
      </c>
      <c r="K20" s="25">
        <v>154964</v>
      </c>
      <c r="L20" s="25">
        <v>384690</v>
      </c>
      <c r="M20" s="25">
        <v>97020.43</v>
      </c>
      <c r="N20" s="25">
        <f t="shared" si="0"/>
        <v>2761272.68</v>
      </c>
      <c r="O20" s="38">
        <f t="shared" si="1"/>
        <v>230106.05666666667</v>
      </c>
    </row>
    <row r="21" spans="1:15">
      <c r="A21" s="5"/>
      <c r="B21" s="8"/>
      <c r="C21" s="8"/>
      <c r="D21" s="8"/>
      <c r="E21" s="8"/>
      <c r="F21" s="33"/>
      <c r="G21" s="33"/>
      <c r="H21" s="28"/>
      <c r="I21" s="35"/>
      <c r="J21" s="35"/>
      <c r="K21" s="35"/>
      <c r="L21" s="35"/>
      <c r="M21" s="35"/>
      <c r="N21" s="26"/>
      <c r="O21" s="38"/>
    </row>
    <row r="22" spans="1:15">
      <c r="A22" s="5" t="s">
        <v>27</v>
      </c>
      <c r="B22" s="15">
        <f t="shared" ref="B22:G22" si="3">B20/B19</f>
        <v>35.890204035621686</v>
      </c>
      <c r="C22" s="15">
        <f t="shared" si="3"/>
        <v>31.769526998744244</v>
      </c>
      <c r="D22" s="15">
        <f t="shared" si="3"/>
        <v>15.294950879597899</v>
      </c>
      <c r="E22" s="15">
        <f t="shared" si="3"/>
        <v>15.359376412961568</v>
      </c>
      <c r="F22" s="15">
        <f t="shared" si="3"/>
        <v>30.446248674844764</v>
      </c>
      <c r="G22" s="15">
        <f t="shared" si="3"/>
        <v>30.994860335195529</v>
      </c>
      <c r="H22" s="40">
        <f t="shared" ref="H22:M22" si="4">H20/H19</f>
        <v>15.0937960042061</v>
      </c>
      <c r="I22" s="40">
        <f t="shared" si="4"/>
        <v>28.885560336397418</v>
      </c>
      <c r="J22" s="40">
        <f t="shared" si="4"/>
        <v>13.873734436740476</v>
      </c>
      <c r="K22" s="40">
        <f t="shared" si="4"/>
        <v>11.13087200114926</v>
      </c>
      <c r="L22" s="40">
        <f t="shared" si="4"/>
        <v>39.358502148557399</v>
      </c>
      <c r="M22" s="40">
        <f t="shared" si="4"/>
        <v>20.103694571073351</v>
      </c>
      <c r="N22" s="38">
        <f t="shared" si="0"/>
        <v>288.20132683508973</v>
      </c>
      <c r="O22" s="38">
        <f t="shared" si="1"/>
        <v>24.016777236257479</v>
      </c>
    </row>
    <row r="23" spans="1:1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38"/>
    </row>
    <row r="24" spans="1:15">
      <c r="A24" s="5" t="s">
        <v>229</v>
      </c>
      <c r="B24" s="6" t="s">
        <v>54</v>
      </c>
      <c r="C24" s="6" t="s">
        <v>55</v>
      </c>
      <c r="D24" s="6" t="s">
        <v>56</v>
      </c>
      <c r="E24" s="6" t="s">
        <v>218</v>
      </c>
      <c r="F24" s="6" t="s">
        <v>219</v>
      </c>
      <c r="G24" s="6" t="s">
        <v>220</v>
      </c>
      <c r="H24" s="31" t="s">
        <v>221</v>
      </c>
      <c r="I24" s="6" t="s">
        <v>266</v>
      </c>
      <c r="J24" s="6" t="s">
        <v>279</v>
      </c>
      <c r="K24" s="6" t="s">
        <v>222</v>
      </c>
      <c r="L24" s="6" t="s">
        <v>281</v>
      </c>
      <c r="M24" s="6" t="s">
        <v>282</v>
      </c>
      <c r="N24" s="26"/>
      <c r="O24" s="38"/>
    </row>
    <row r="25" spans="1:15">
      <c r="A25" s="5" t="s">
        <v>223</v>
      </c>
      <c r="B25" s="7">
        <v>12707</v>
      </c>
      <c r="C25" s="7">
        <v>15593</v>
      </c>
      <c r="D25" s="7">
        <f>'[7]U4001381.csv'!$D$37</f>
        <v>4522</v>
      </c>
      <c r="E25" s="7">
        <f>'[8]V9501381.csv'!$D$37</f>
        <v>6016</v>
      </c>
      <c r="F25" s="26">
        <v>12825</v>
      </c>
      <c r="G25" s="26">
        <f>'[9]A9101381.csv'!$D$37</f>
        <v>10592</v>
      </c>
      <c r="H25" s="27">
        <f>'[10]B8401381.csv'!$D$38</f>
        <v>17543</v>
      </c>
      <c r="I25" s="30">
        <f>'[5]C9901381.csv'!$D$39</f>
        <v>5597</v>
      </c>
      <c r="J25" s="30">
        <v>7465</v>
      </c>
      <c r="K25" s="30">
        <v>8843</v>
      </c>
      <c r="L25" s="30">
        <v>9454</v>
      </c>
      <c r="M25" s="30">
        <f>'[6]F6401381.csv'!$D$40</f>
        <v>21430</v>
      </c>
      <c r="N25" s="26">
        <f>SUM(B25:M25)</f>
        <v>132587</v>
      </c>
      <c r="O25" s="38">
        <f t="shared" si="1"/>
        <v>11048.916666666666</v>
      </c>
    </row>
    <row r="26" spans="1:15">
      <c r="A26" s="5" t="s">
        <v>224</v>
      </c>
      <c r="B26" s="16">
        <v>120414</v>
      </c>
      <c r="C26" s="16">
        <v>185691</v>
      </c>
      <c r="D26" s="16">
        <f>'[7]U4001381.csv'!$E$37</f>
        <v>119999.34</v>
      </c>
      <c r="E26" s="16">
        <f>'[8]V9501381.csv'!$E$37</f>
        <v>119990.21</v>
      </c>
      <c r="F26" s="25">
        <v>236478.21</v>
      </c>
      <c r="G26" s="25">
        <f>'[9]A9101381.csv'!$E$37</f>
        <v>250201.63</v>
      </c>
      <c r="H26" s="29">
        <f>'[10]B8401381.csv'!$E$38</f>
        <v>323068.27</v>
      </c>
      <c r="I26" s="25">
        <f>'[5]C9901381.csv'!$E$39</f>
        <v>145964.79999999999</v>
      </c>
      <c r="J26" s="25">
        <v>148953</v>
      </c>
      <c r="K26" s="25">
        <v>163510</v>
      </c>
      <c r="L26" s="25">
        <v>147585</v>
      </c>
      <c r="M26" s="25">
        <f>'[6]F6401381.csv'!$E$40</f>
        <v>349172.55</v>
      </c>
      <c r="N26" s="25">
        <f>SUM(B26:M26)</f>
        <v>2311028.0099999998</v>
      </c>
      <c r="O26" s="38">
        <f t="shared" si="1"/>
        <v>192585.66749999998</v>
      </c>
    </row>
    <row r="27" spans="1:15">
      <c r="A27" s="5"/>
      <c r="B27" s="8"/>
      <c r="C27" s="8"/>
      <c r="D27" s="8"/>
      <c r="E27" s="8"/>
      <c r="F27" s="33"/>
      <c r="G27" s="33"/>
      <c r="H27" s="28"/>
      <c r="I27" s="35"/>
      <c r="J27" s="35"/>
      <c r="K27" s="35"/>
      <c r="L27" s="35"/>
      <c r="M27" s="35"/>
      <c r="N27" s="38"/>
      <c r="O27" s="38"/>
    </row>
    <row r="28" spans="1:15">
      <c r="A28" s="5" t="s">
        <v>27</v>
      </c>
      <c r="B28" s="15">
        <f t="shared" ref="B28:M28" si="5">B26/B25</f>
        <v>9.4761942236562522</v>
      </c>
      <c r="C28" s="15">
        <f t="shared" si="5"/>
        <v>11.908612839094465</v>
      </c>
      <c r="D28" s="15">
        <f t="shared" si="5"/>
        <v>26.536784608580273</v>
      </c>
      <c r="E28" s="15">
        <f t="shared" si="5"/>
        <v>19.945181183510638</v>
      </c>
      <c r="F28" s="15">
        <f t="shared" si="5"/>
        <v>18.438846783625731</v>
      </c>
      <c r="G28" s="15">
        <f t="shared" si="5"/>
        <v>23.621755098187311</v>
      </c>
      <c r="H28" s="15">
        <f t="shared" si="5"/>
        <v>18.415793763894431</v>
      </c>
      <c r="I28" s="15">
        <f t="shared" si="5"/>
        <v>26.07911381097016</v>
      </c>
      <c r="J28" s="15">
        <f t="shared" si="5"/>
        <v>19.953516409912925</v>
      </c>
      <c r="K28" s="15">
        <f t="shared" si="5"/>
        <v>18.49033133551962</v>
      </c>
      <c r="L28" s="15">
        <f t="shared" si="5"/>
        <v>15.61085254918553</v>
      </c>
      <c r="M28" s="15">
        <f t="shared" si="5"/>
        <v>16.293632757816145</v>
      </c>
      <c r="N28" s="38">
        <f>SUM(B28:M28)</f>
        <v>224.77061536395348</v>
      </c>
      <c r="O28" s="38">
        <f t="shared" si="1"/>
        <v>18.730884613662791</v>
      </c>
    </row>
    <row r="29" spans="1:15">
      <c r="O29" s="38"/>
    </row>
    <row r="30" spans="1:15">
      <c r="A30" s="5" t="s">
        <v>228</v>
      </c>
      <c r="B30" s="6" t="s">
        <v>48</v>
      </c>
      <c r="C30" s="6" t="s">
        <v>119</v>
      </c>
      <c r="D30" s="6" t="s">
        <v>120</v>
      </c>
      <c r="E30" s="6" t="s">
        <v>121</v>
      </c>
      <c r="F30" s="6" t="s">
        <v>252</v>
      </c>
      <c r="G30" s="6" t="s">
        <v>34</v>
      </c>
      <c r="H30" s="31" t="s">
        <v>26</v>
      </c>
      <c r="I30" s="6" t="s">
        <v>25</v>
      </c>
      <c r="J30" s="6" t="s">
        <v>122</v>
      </c>
      <c r="K30" s="6" t="s">
        <v>123</v>
      </c>
      <c r="L30" s="6" t="s">
        <v>124</v>
      </c>
      <c r="M30" s="6" t="s">
        <v>125</v>
      </c>
      <c r="N30" s="26"/>
      <c r="O30" s="38"/>
    </row>
    <row r="31" spans="1:15">
      <c r="A31" s="46" t="s">
        <v>183</v>
      </c>
      <c r="B31" s="47">
        <v>11582</v>
      </c>
      <c r="C31" s="47">
        <v>8791</v>
      </c>
      <c r="D31" s="47">
        <v>11884</v>
      </c>
      <c r="E31" s="47">
        <v>7923</v>
      </c>
      <c r="F31" s="48">
        <v>10226</v>
      </c>
      <c r="G31" s="48">
        <v>18292</v>
      </c>
      <c r="H31" s="57">
        <v>7899</v>
      </c>
      <c r="I31" s="51">
        <v>6756</v>
      </c>
      <c r="J31" s="51">
        <v>5793</v>
      </c>
      <c r="K31" s="51">
        <v>3092</v>
      </c>
      <c r="L31" s="51">
        <v>9406</v>
      </c>
      <c r="M31" s="51">
        <v>11772</v>
      </c>
      <c r="N31" s="26">
        <f>SUM(B31:M31)</f>
        <v>113416</v>
      </c>
      <c r="O31" s="38">
        <f t="shared" si="1"/>
        <v>9451.3333333333339</v>
      </c>
    </row>
    <row r="32" spans="1:15">
      <c r="A32" s="46" t="s">
        <v>49</v>
      </c>
      <c r="B32" s="49">
        <v>190745</v>
      </c>
      <c r="C32" s="49">
        <v>171830</v>
      </c>
      <c r="D32" s="49">
        <v>187065</v>
      </c>
      <c r="E32" s="49">
        <v>160381</v>
      </c>
      <c r="F32" s="50">
        <v>260046</v>
      </c>
      <c r="G32" s="50">
        <v>234223</v>
      </c>
      <c r="H32" s="56">
        <v>100466</v>
      </c>
      <c r="I32" s="50">
        <v>226265</v>
      </c>
      <c r="J32" s="50">
        <v>242134</v>
      </c>
      <c r="K32" s="50">
        <v>72851</v>
      </c>
      <c r="L32" s="50">
        <v>183757</v>
      </c>
      <c r="M32" s="50">
        <v>118887</v>
      </c>
      <c r="N32" s="25">
        <f>SUM(B32:M32)</f>
        <v>2148650</v>
      </c>
      <c r="O32" s="38">
        <f t="shared" si="1"/>
        <v>179054.16666666666</v>
      </c>
    </row>
    <row r="33" spans="1:15">
      <c r="A33" s="46"/>
      <c r="B33" s="52"/>
      <c r="C33" s="52"/>
      <c r="D33" s="52"/>
      <c r="E33" s="52"/>
      <c r="F33" s="53"/>
      <c r="G33" s="53"/>
      <c r="H33" s="54"/>
      <c r="I33" s="55"/>
      <c r="J33" s="55"/>
      <c r="K33" s="55"/>
      <c r="L33" s="55"/>
      <c r="M33" s="55"/>
      <c r="N33" s="38"/>
      <c r="O33" s="38"/>
    </row>
    <row r="34" spans="1:15">
      <c r="A34" s="5" t="s">
        <v>27</v>
      </c>
      <c r="B34" s="15">
        <f t="shared" ref="B34:G34" si="6">B32/B31</f>
        <v>16.469089967190467</v>
      </c>
      <c r="C34" s="15">
        <f t="shared" si="6"/>
        <v>19.546126720509612</v>
      </c>
      <c r="D34" s="15">
        <f t="shared" si="6"/>
        <v>15.740912150790979</v>
      </c>
      <c r="E34" s="15">
        <f t="shared" si="6"/>
        <v>20.242458664647231</v>
      </c>
      <c r="F34" s="15">
        <f t="shared" si="6"/>
        <v>25.429884607862313</v>
      </c>
      <c r="G34" s="15">
        <f t="shared" si="6"/>
        <v>12.804668707631752</v>
      </c>
      <c r="H34" s="15">
        <f t="shared" ref="H34:M34" si="7">H32/H31</f>
        <v>12.718825167742752</v>
      </c>
      <c r="I34" s="15">
        <f t="shared" si="7"/>
        <v>33.490970988750739</v>
      </c>
      <c r="J34" s="15">
        <f t="shared" si="7"/>
        <v>41.797686863455894</v>
      </c>
      <c r="K34" s="15">
        <f t="shared" si="7"/>
        <v>23.561125485122897</v>
      </c>
      <c r="L34" s="15">
        <f t="shared" si="7"/>
        <v>19.536147140123326</v>
      </c>
      <c r="M34" s="15">
        <f t="shared" si="7"/>
        <v>10.099133537206932</v>
      </c>
      <c r="N34" s="38">
        <f>SUM(B34:M34)</f>
        <v>251.43703000103486</v>
      </c>
      <c r="O34" s="38">
        <f t="shared" si="1"/>
        <v>20.953085833419571</v>
      </c>
    </row>
    <row r="35" spans="1:15">
      <c r="O35" s="38"/>
    </row>
    <row r="36" spans="1:15">
      <c r="A36" s="5" t="s">
        <v>315</v>
      </c>
      <c r="B36" s="6" t="s">
        <v>48</v>
      </c>
      <c r="C36" s="6" t="s">
        <v>55</v>
      </c>
      <c r="D36" s="6" t="s">
        <v>56</v>
      </c>
      <c r="E36" s="6" t="s">
        <v>121</v>
      </c>
      <c r="F36" s="6" t="s">
        <v>78</v>
      </c>
      <c r="G36" s="6" t="s">
        <v>34</v>
      </c>
      <c r="H36" s="31" t="s">
        <v>26</v>
      </c>
      <c r="I36" s="6" t="s">
        <v>25</v>
      </c>
      <c r="J36" s="6" t="s">
        <v>122</v>
      </c>
      <c r="K36" s="6" t="s">
        <v>40</v>
      </c>
      <c r="L36" s="6" t="s">
        <v>41</v>
      </c>
      <c r="M36" s="6" t="s">
        <v>125</v>
      </c>
      <c r="N36" s="26"/>
      <c r="O36" s="38"/>
    </row>
    <row r="37" spans="1:15">
      <c r="A37" s="46" t="s">
        <v>183</v>
      </c>
      <c r="B37" s="47">
        <v>11883</v>
      </c>
      <c r="C37" s="47">
        <v>21686</v>
      </c>
      <c r="D37" s="47">
        <v>11766</v>
      </c>
      <c r="E37" s="47">
        <v>16280</v>
      </c>
      <c r="F37" s="48">
        <v>13619</v>
      </c>
      <c r="G37" s="48">
        <v>9195</v>
      </c>
      <c r="H37" s="57">
        <v>5772</v>
      </c>
      <c r="I37" s="51">
        <v>14937</v>
      </c>
      <c r="J37" s="51">
        <v>3465</v>
      </c>
      <c r="K37" s="51">
        <v>15059</v>
      </c>
      <c r="L37" s="51">
        <v>4289</v>
      </c>
      <c r="M37" s="51">
        <v>16297</v>
      </c>
      <c r="N37" s="26">
        <f>SUM(B37:M37)</f>
        <v>144248</v>
      </c>
      <c r="O37" s="38">
        <f t="shared" si="1"/>
        <v>12020.666666666666</v>
      </c>
    </row>
    <row r="38" spans="1:15">
      <c r="A38" s="46" t="s">
        <v>49</v>
      </c>
      <c r="B38" s="49">
        <v>301990</v>
      </c>
      <c r="C38" s="49">
        <v>288654</v>
      </c>
      <c r="D38" s="49">
        <v>127520</v>
      </c>
      <c r="E38" s="49">
        <v>192155</v>
      </c>
      <c r="F38" s="50">
        <v>490631</v>
      </c>
      <c r="G38" s="50">
        <v>207396</v>
      </c>
      <c r="H38" s="56">
        <v>124748</v>
      </c>
      <c r="I38" s="50">
        <v>208533</v>
      </c>
      <c r="J38" s="50">
        <v>89381</v>
      </c>
      <c r="K38" s="50">
        <v>271440</v>
      </c>
      <c r="L38" s="50">
        <v>143032</v>
      </c>
      <c r="M38" s="50">
        <v>226854</v>
      </c>
      <c r="N38" s="25">
        <f>SUM(B38:M38)</f>
        <v>2672334</v>
      </c>
      <c r="O38" s="38">
        <f t="shared" si="1"/>
        <v>222694.5</v>
      </c>
    </row>
    <row r="39" spans="1:15">
      <c r="A39" s="46"/>
      <c r="B39" s="52"/>
      <c r="C39" s="52"/>
      <c r="D39" s="52"/>
      <c r="E39" s="52"/>
      <c r="F39" s="53"/>
      <c r="G39" s="53"/>
      <c r="H39" s="54"/>
      <c r="I39" s="55"/>
      <c r="J39" s="55"/>
      <c r="K39" s="55"/>
      <c r="L39" s="55"/>
      <c r="M39" s="55"/>
      <c r="N39" s="38"/>
      <c r="O39" s="38"/>
    </row>
    <row r="40" spans="1:15">
      <c r="A40" s="5" t="s">
        <v>27</v>
      </c>
      <c r="B40" s="15">
        <f t="shared" ref="B40:M40" si="8">B38/B37</f>
        <v>25.413616090212908</v>
      </c>
      <c r="C40" s="15">
        <f t="shared" si="8"/>
        <v>13.310615143410494</v>
      </c>
      <c r="D40" s="15">
        <f t="shared" si="8"/>
        <v>10.838007819139895</v>
      </c>
      <c r="E40" s="15">
        <f t="shared" si="8"/>
        <v>11.803132678132679</v>
      </c>
      <c r="F40" s="15">
        <f t="shared" si="8"/>
        <v>36.025479110066819</v>
      </c>
      <c r="G40" s="15">
        <f t="shared" si="8"/>
        <v>22.555301794453506</v>
      </c>
      <c r="H40" s="15">
        <f t="shared" si="8"/>
        <v>21.612612612612612</v>
      </c>
      <c r="I40" s="15">
        <f t="shared" si="8"/>
        <v>13.960835509138381</v>
      </c>
      <c r="J40" s="15">
        <f t="shared" si="8"/>
        <v>25.795382395382397</v>
      </c>
      <c r="K40" s="15">
        <f t="shared" si="8"/>
        <v>18.02510126834451</v>
      </c>
      <c r="L40" s="15">
        <f t="shared" si="8"/>
        <v>33.348566099323854</v>
      </c>
      <c r="M40" s="15">
        <f t="shared" si="8"/>
        <v>13.919985273363196</v>
      </c>
      <c r="N40" s="38">
        <f>SUM(B40:M40)</f>
        <v>246.60863579358124</v>
      </c>
      <c r="O40" s="38">
        <f>N40/12</f>
        <v>20.550719649465105</v>
      </c>
    </row>
    <row r="42" spans="1:15">
      <c r="A42" s="5" t="s">
        <v>324</v>
      </c>
      <c r="B42" s="6" t="s">
        <v>48</v>
      </c>
      <c r="C42" s="6" t="s">
        <v>55</v>
      </c>
      <c r="D42" s="6" t="s">
        <v>56</v>
      </c>
      <c r="E42" s="6" t="s">
        <v>121</v>
      </c>
      <c r="F42" s="6" t="s">
        <v>78</v>
      </c>
      <c r="G42" s="6" t="s">
        <v>34</v>
      </c>
      <c r="H42" s="31" t="s">
        <v>26</v>
      </c>
      <c r="I42" s="6" t="s">
        <v>25</v>
      </c>
      <c r="J42" s="6" t="s">
        <v>122</v>
      </c>
      <c r="K42" s="6" t="s">
        <v>40</v>
      </c>
      <c r="L42" s="6" t="s">
        <v>41</v>
      </c>
      <c r="M42" s="6" t="s">
        <v>125</v>
      </c>
      <c r="N42" s="26"/>
      <c r="O42" s="38"/>
    </row>
    <row r="43" spans="1:15">
      <c r="A43" s="46" t="s">
        <v>183</v>
      </c>
      <c r="B43" s="47">
        <v>7460</v>
      </c>
      <c r="C43" s="47">
        <v>7307</v>
      </c>
      <c r="D43" s="47">
        <v>11785</v>
      </c>
      <c r="E43" s="47">
        <v>14397</v>
      </c>
      <c r="F43" s="48">
        <v>18947</v>
      </c>
      <c r="G43" s="48">
        <v>6715</v>
      </c>
      <c r="H43" s="57">
        <v>14619</v>
      </c>
      <c r="I43" s="51">
        <v>3855</v>
      </c>
      <c r="J43" s="51">
        <v>4231</v>
      </c>
      <c r="K43" s="51">
        <v>10032</v>
      </c>
      <c r="L43" s="51">
        <v>22356</v>
      </c>
      <c r="M43" s="51"/>
      <c r="N43" s="26">
        <f>SUM(B43:M43)</f>
        <v>121704</v>
      </c>
      <c r="O43" s="38">
        <f>N43/11</f>
        <v>11064</v>
      </c>
    </row>
    <row r="44" spans="1:15">
      <c r="A44" s="46" t="s">
        <v>49</v>
      </c>
      <c r="B44" s="49">
        <v>168282</v>
      </c>
      <c r="C44" s="49">
        <v>158119</v>
      </c>
      <c r="D44" s="49">
        <v>141679</v>
      </c>
      <c r="E44" s="49">
        <v>232671</v>
      </c>
      <c r="F44" s="50">
        <v>272124</v>
      </c>
      <c r="G44" s="50">
        <v>209965</v>
      </c>
      <c r="H44" s="56">
        <v>212889</v>
      </c>
      <c r="I44" s="50">
        <v>126057</v>
      </c>
      <c r="J44" s="50">
        <v>160034</v>
      </c>
      <c r="K44" s="50">
        <v>154034</v>
      </c>
      <c r="L44" s="50">
        <v>262045</v>
      </c>
      <c r="M44" s="50"/>
      <c r="N44" s="25">
        <f>SUM(B44:M44)</f>
        <v>2097899</v>
      </c>
      <c r="O44" s="38">
        <f>N44/11</f>
        <v>190718.09090909091</v>
      </c>
    </row>
    <row r="45" spans="1:15">
      <c r="A45" s="46"/>
      <c r="B45" s="52"/>
      <c r="C45" s="52"/>
      <c r="D45" s="52"/>
      <c r="E45" s="52"/>
      <c r="F45" s="53"/>
      <c r="G45" s="53"/>
      <c r="H45" s="54"/>
      <c r="I45" s="55"/>
      <c r="J45" s="55"/>
      <c r="K45" s="55"/>
      <c r="L45" s="55"/>
      <c r="M45" s="55"/>
      <c r="N45" s="38"/>
      <c r="O45" s="38"/>
    </row>
    <row r="46" spans="1:15">
      <c r="A46" s="5" t="s">
        <v>27</v>
      </c>
      <c r="B46" s="15">
        <f t="shared" ref="B46:M46" si="9">B44/B43</f>
        <v>22.557908847184986</v>
      </c>
      <c r="C46" s="15">
        <f t="shared" si="9"/>
        <v>21.639386889284246</v>
      </c>
      <c r="D46" s="15">
        <f t="shared" si="9"/>
        <v>12.021977089520577</v>
      </c>
      <c r="E46" s="15">
        <f t="shared" si="9"/>
        <v>16.161075224005</v>
      </c>
      <c r="F46" s="15">
        <f t="shared" si="9"/>
        <v>14.362379268485777</v>
      </c>
      <c r="G46" s="15">
        <f t="shared" si="9"/>
        <v>31.268056589724498</v>
      </c>
      <c r="H46" s="15">
        <f t="shared" si="9"/>
        <v>14.562487174225323</v>
      </c>
      <c r="I46" s="15">
        <f t="shared" si="9"/>
        <v>32.699610894941635</v>
      </c>
      <c r="J46" s="15">
        <f t="shared" si="9"/>
        <v>37.824155046088393</v>
      </c>
      <c r="K46" s="15">
        <f t="shared" si="9"/>
        <v>15.3542663476874</v>
      </c>
      <c r="L46" s="15">
        <f t="shared" si="9"/>
        <v>11.721461799964215</v>
      </c>
      <c r="M46" s="15" t="e">
        <f t="shared" si="9"/>
        <v>#DIV/0!</v>
      </c>
      <c r="N46" s="38" t="e">
        <f>SUM(B46:M46)</f>
        <v>#DIV/0!</v>
      </c>
      <c r="O46" s="38" t="e">
        <f>N46/8</f>
        <v>#DIV/0!</v>
      </c>
    </row>
  </sheetData>
  <mergeCells count="1">
    <mergeCell ref="A1:XFD9"/>
  </mergeCells>
  <phoneticPr fontId="3" type="noConversion"/>
  <pageMargins left="0.15944881889763785" right="0.15944881889763785" top="0.75" bottom="0.75" header="0.5" footer="0.5"/>
  <pageSetup paperSize="9" orientation="landscape" horizontalDpi="4294967292" verticalDpi="429496729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O33"/>
  <sheetViews>
    <sheetView topLeftCell="A16" workbookViewId="0">
      <selection activeCell="O34" sqref="O34"/>
    </sheetView>
  </sheetViews>
  <sheetFormatPr defaultColWidth="11.140625" defaultRowHeight="11.25"/>
  <cols>
    <col min="1" max="1" width="8.140625" style="58" customWidth="1"/>
    <col min="2" max="2" width="8.85546875" style="58" customWidth="1"/>
    <col min="3" max="5" width="8.140625" style="58" customWidth="1"/>
    <col min="6" max="6" width="8.85546875" style="58" customWidth="1"/>
    <col min="7" max="7" width="8.140625" style="58" customWidth="1"/>
    <col min="8" max="8" width="8.7109375" style="58" customWidth="1"/>
    <col min="9" max="11" width="8.85546875" style="58" customWidth="1"/>
    <col min="12" max="14" width="9.85546875" style="58" customWidth="1"/>
    <col min="15" max="15" width="10.7109375" style="58" customWidth="1"/>
    <col min="16" max="16384" width="11.140625" style="58"/>
  </cols>
  <sheetData>
    <row r="1" spans="1:15" s="369" customFormat="1" ht="12.75"/>
    <row r="2" spans="1:15" s="369" customFormat="1" ht="12.75"/>
    <row r="3" spans="1:15" s="369" customFormat="1" ht="12.75"/>
    <row r="4" spans="1:15" s="369" customFormat="1" ht="12.75"/>
    <row r="5" spans="1:15" s="369" customFormat="1" ht="12.75"/>
    <row r="6" spans="1:15" s="369" customFormat="1" ht="12.75"/>
    <row r="7" spans="1:15" s="369" customFormat="1" ht="12.75"/>
    <row r="8" spans="1:15" s="369" customFormat="1" ht="12.75"/>
    <row r="9" spans="1:15" s="369" customFormat="1" ht="12.75"/>
    <row r="11" spans="1:15">
      <c r="A11" s="75" t="s">
        <v>263</v>
      </c>
      <c r="B11" s="76" t="s">
        <v>182</v>
      </c>
      <c r="C11" s="76" t="s">
        <v>9</v>
      </c>
      <c r="D11" s="76" t="s">
        <v>21</v>
      </c>
      <c r="E11" s="76" t="s">
        <v>10</v>
      </c>
      <c r="F11" s="76" t="s">
        <v>11</v>
      </c>
      <c r="G11" s="76" t="s">
        <v>22</v>
      </c>
      <c r="H11" s="102" t="s">
        <v>264</v>
      </c>
      <c r="I11" s="76" t="s">
        <v>265</v>
      </c>
      <c r="J11" s="76" t="s">
        <v>217</v>
      </c>
      <c r="K11" s="76" t="s">
        <v>280</v>
      </c>
      <c r="L11" s="76" t="s">
        <v>180</v>
      </c>
      <c r="M11" s="78" t="s">
        <v>181</v>
      </c>
      <c r="N11" s="136" t="s">
        <v>46</v>
      </c>
      <c r="O11" s="136" t="s">
        <v>58</v>
      </c>
    </row>
    <row r="12" spans="1:15">
      <c r="A12" s="75" t="s">
        <v>13</v>
      </c>
      <c r="B12" s="60">
        <v>504228</v>
      </c>
      <c r="C12" s="60">
        <v>432666</v>
      </c>
      <c r="D12" s="60">
        <v>318391</v>
      </c>
      <c r="E12" s="60">
        <v>514961</v>
      </c>
      <c r="F12" s="61">
        <v>396073</v>
      </c>
      <c r="G12" s="61">
        <v>405622</v>
      </c>
      <c r="H12" s="66">
        <v>373064</v>
      </c>
      <c r="I12" s="61">
        <v>515266</v>
      </c>
      <c r="J12" s="61">
        <v>521982</v>
      </c>
      <c r="K12" s="61">
        <v>731995</v>
      </c>
      <c r="L12" s="61">
        <v>950446</v>
      </c>
      <c r="M12" s="68">
        <v>638961</v>
      </c>
      <c r="N12" s="61">
        <f>SUM(B12:M12)</f>
        <v>6303655</v>
      </c>
      <c r="O12" s="117">
        <f>N12/12</f>
        <v>525304.58333333337</v>
      </c>
    </row>
    <row r="13" spans="1:15">
      <c r="A13" s="106"/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3"/>
      <c r="N13" s="61"/>
      <c r="O13" s="117"/>
    </row>
    <row r="14" spans="1:15">
      <c r="A14" s="75" t="s">
        <v>284</v>
      </c>
      <c r="B14" s="59" t="s">
        <v>182</v>
      </c>
      <c r="C14" s="59" t="s">
        <v>9</v>
      </c>
      <c r="D14" s="59" t="s">
        <v>21</v>
      </c>
      <c r="E14" s="59" t="s">
        <v>10</v>
      </c>
      <c r="F14" s="59" t="s">
        <v>11</v>
      </c>
      <c r="G14" s="59" t="s">
        <v>22</v>
      </c>
      <c r="H14" s="134" t="s">
        <v>264</v>
      </c>
      <c r="I14" s="59" t="s">
        <v>265</v>
      </c>
      <c r="J14" s="59" t="s">
        <v>217</v>
      </c>
      <c r="K14" s="59" t="s">
        <v>280</v>
      </c>
      <c r="L14" s="59" t="s">
        <v>180</v>
      </c>
      <c r="M14" s="62" t="s">
        <v>181</v>
      </c>
      <c r="N14" s="61"/>
      <c r="O14" s="117"/>
    </row>
    <row r="15" spans="1:15">
      <c r="A15" s="75" t="s">
        <v>13</v>
      </c>
      <c r="B15" s="60">
        <v>539223</v>
      </c>
      <c r="C15" s="60">
        <v>575626</v>
      </c>
      <c r="D15" s="60">
        <v>698850</v>
      </c>
      <c r="E15" s="60">
        <v>817160</v>
      </c>
      <c r="F15" s="61">
        <v>842169</v>
      </c>
      <c r="G15" s="61">
        <v>526996</v>
      </c>
      <c r="H15" s="66">
        <v>614784</v>
      </c>
      <c r="I15" s="61">
        <v>583727</v>
      </c>
      <c r="J15" s="61">
        <v>561626</v>
      </c>
      <c r="K15" s="61">
        <v>782727</v>
      </c>
      <c r="L15" s="61">
        <v>970324</v>
      </c>
      <c r="M15" s="68">
        <v>782727</v>
      </c>
      <c r="N15" s="61">
        <f t="shared" ref="N15:N21" si="0">SUM(B15:M15)</f>
        <v>8295939</v>
      </c>
      <c r="O15" s="117">
        <f>N15/12</f>
        <v>691328.25</v>
      </c>
    </row>
    <row r="16" spans="1:15">
      <c r="A16" s="106"/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3"/>
      <c r="N16" s="61"/>
      <c r="O16" s="117"/>
    </row>
    <row r="17" spans="1:15">
      <c r="A17" s="75" t="s">
        <v>253</v>
      </c>
      <c r="B17" s="59" t="s">
        <v>182</v>
      </c>
      <c r="C17" s="59" t="s">
        <v>9</v>
      </c>
      <c r="D17" s="59" t="s">
        <v>21</v>
      </c>
      <c r="E17" s="59" t="s">
        <v>10</v>
      </c>
      <c r="F17" s="59" t="s">
        <v>11</v>
      </c>
      <c r="G17" s="59" t="s">
        <v>22</v>
      </c>
      <c r="H17" s="134" t="s">
        <v>264</v>
      </c>
      <c r="I17" s="59" t="s">
        <v>265</v>
      </c>
      <c r="J17" s="59" t="s">
        <v>217</v>
      </c>
      <c r="K17" s="59" t="s">
        <v>280</v>
      </c>
      <c r="L17" s="59" t="s">
        <v>180</v>
      </c>
      <c r="M17" s="62" t="s">
        <v>181</v>
      </c>
      <c r="N17" s="61"/>
      <c r="O17" s="117"/>
    </row>
    <row r="18" spans="1:15">
      <c r="A18" s="75" t="s">
        <v>13</v>
      </c>
      <c r="B18" s="60">
        <v>913884</v>
      </c>
      <c r="C18" s="60">
        <v>476904</v>
      </c>
      <c r="D18" s="60">
        <v>560861</v>
      </c>
      <c r="E18" s="60">
        <v>553364</v>
      </c>
      <c r="F18" s="61">
        <v>465747</v>
      </c>
      <c r="G18" s="61">
        <v>433492</v>
      </c>
      <c r="H18" s="66">
        <v>983085</v>
      </c>
      <c r="I18" s="61">
        <v>491793</v>
      </c>
      <c r="J18" s="61">
        <v>727974</v>
      </c>
      <c r="K18" s="61">
        <v>686176</v>
      </c>
      <c r="L18" s="61">
        <v>627709</v>
      </c>
      <c r="M18" s="68">
        <v>621446</v>
      </c>
      <c r="N18" s="61">
        <f t="shared" si="0"/>
        <v>7542435</v>
      </c>
      <c r="O18" s="117">
        <f>N18/12</f>
        <v>628536.25</v>
      </c>
    </row>
    <row r="19" spans="1:15">
      <c r="A19" s="106"/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3"/>
      <c r="N19" s="61"/>
      <c r="O19" s="117"/>
    </row>
    <row r="20" spans="1:15">
      <c r="A20" s="71" t="s">
        <v>274</v>
      </c>
      <c r="B20" s="63" t="s">
        <v>54</v>
      </c>
      <c r="C20" s="63" t="s">
        <v>55</v>
      </c>
      <c r="D20" s="63" t="s">
        <v>56</v>
      </c>
      <c r="E20" s="63" t="s">
        <v>218</v>
      </c>
      <c r="F20" s="63" t="s">
        <v>219</v>
      </c>
      <c r="G20" s="63" t="s">
        <v>220</v>
      </c>
      <c r="H20" s="134" t="s">
        <v>221</v>
      </c>
      <c r="I20" s="63" t="s">
        <v>266</v>
      </c>
      <c r="J20" s="63" t="s">
        <v>279</v>
      </c>
      <c r="K20" s="63" t="s">
        <v>222</v>
      </c>
      <c r="L20" s="63" t="s">
        <v>281</v>
      </c>
      <c r="M20" s="64" t="s">
        <v>282</v>
      </c>
      <c r="N20" s="61"/>
      <c r="O20" s="117"/>
    </row>
    <row r="21" spans="1:15">
      <c r="A21" s="71" t="s">
        <v>224</v>
      </c>
      <c r="B21" s="65">
        <v>990251</v>
      </c>
      <c r="C21" s="65">
        <v>544781</v>
      </c>
      <c r="D21" s="65">
        <v>934444</v>
      </c>
      <c r="E21" s="65">
        <v>777815.25</v>
      </c>
      <c r="F21" s="61">
        <v>516132.39</v>
      </c>
      <c r="G21" s="61">
        <v>607924</v>
      </c>
      <c r="H21" s="66">
        <v>906966</v>
      </c>
      <c r="I21" s="61">
        <v>568711</v>
      </c>
      <c r="J21" s="61">
        <v>944638</v>
      </c>
      <c r="K21" s="61">
        <v>670850</v>
      </c>
      <c r="L21" s="61">
        <v>754203</v>
      </c>
      <c r="M21" s="68">
        <v>566651.31999999995</v>
      </c>
      <c r="N21" s="61">
        <f t="shared" si="0"/>
        <v>8783366.9600000009</v>
      </c>
      <c r="O21" s="117">
        <f>N21/12</f>
        <v>731947.2466666667</v>
      </c>
    </row>
    <row r="22" spans="1:1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67"/>
      <c r="O22" s="117"/>
    </row>
    <row r="23" spans="1:15">
      <c r="A23" s="71" t="s">
        <v>82</v>
      </c>
      <c r="B23" s="63" t="s">
        <v>54</v>
      </c>
      <c r="C23" s="63" t="s">
        <v>55</v>
      </c>
      <c r="D23" s="63" t="s">
        <v>56</v>
      </c>
      <c r="E23" s="63" t="s">
        <v>218</v>
      </c>
      <c r="F23" s="63" t="s">
        <v>219</v>
      </c>
      <c r="G23" s="63" t="s">
        <v>220</v>
      </c>
      <c r="H23" s="134" t="s">
        <v>221</v>
      </c>
      <c r="I23" s="63" t="s">
        <v>266</v>
      </c>
      <c r="J23" s="63" t="s">
        <v>279</v>
      </c>
      <c r="K23" s="63" t="s">
        <v>222</v>
      </c>
      <c r="L23" s="63" t="s">
        <v>281</v>
      </c>
      <c r="M23" s="64" t="s">
        <v>282</v>
      </c>
      <c r="N23" s="61"/>
      <c r="O23" s="117"/>
    </row>
    <row r="24" spans="1:15">
      <c r="A24" s="71" t="s">
        <v>224</v>
      </c>
      <c r="B24" s="65">
        <v>748918</v>
      </c>
      <c r="C24" s="65">
        <v>728065</v>
      </c>
      <c r="D24" s="65">
        <f>'[7]U4001381.csv'!$E$38</f>
        <v>642615.78</v>
      </c>
      <c r="E24" s="65">
        <f>'[8]V9501381.csv'!$E$38</f>
        <v>736167.56</v>
      </c>
      <c r="F24" s="61">
        <v>754532.27</v>
      </c>
      <c r="G24" s="61">
        <f>'[9]A9101381.csv'!$E$38</f>
        <v>832102.69</v>
      </c>
      <c r="H24" s="66">
        <f>'[10]B8401381.csv'!$E$39</f>
        <v>673946.49</v>
      </c>
      <c r="I24" s="61">
        <f>'[5]C9901381.csv'!$E$40</f>
        <v>831357.43999999994</v>
      </c>
      <c r="J24" s="61">
        <v>630141</v>
      </c>
      <c r="K24" s="61">
        <v>622866</v>
      </c>
      <c r="L24" s="61">
        <v>563711</v>
      </c>
      <c r="M24" s="68">
        <f>'[6]F6401381.csv'!$E$41</f>
        <v>952400.47</v>
      </c>
      <c r="N24" s="61">
        <f>SUM(B24:M24)</f>
        <v>8716823.7000000011</v>
      </c>
      <c r="O24" s="117">
        <f>N24/12</f>
        <v>726401.97500000009</v>
      </c>
    </row>
    <row r="25" spans="1:15">
      <c r="O25" s="117"/>
    </row>
    <row r="26" spans="1:15">
      <c r="A26" s="71" t="s">
        <v>311</v>
      </c>
      <c r="B26" s="63" t="s">
        <v>48</v>
      </c>
      <c r="C26" s="63" t="s">
        <v>119</v>
      </c>
      <c r="D26" s="63" t="s">
        <v>120</v>
      </c>
      <c r="E26" s="63" t="s">
        <v>121</v>
      </c>
      <c r="F26" s="63" t="s">
        <v>252</v>
      </c>
      <c r="G26" s="63" t="s">
        <v>34</v>
      </c>
      <c r="H26" s="137" t="s">
        <v>26</v>
      </c>
      <c r="I26" s="63" t="s">
        <v>25</v>
      </c>
      <c r="J26" s="63" t="s">
        <v>122</v>
      </c>
      <c r="K26" s="63" t="s">
        <v>123</v>
      </c>
      <c r="L26" s="63" t="s">
        <v>124</v>
      </c>
      <c r="M26" s="64" t="s">
        <v>125</v>
      </c>
      <c r="N26" s="61"/>
      <c r="O26" s="117"/>
    </row>
    <row r="27" spans="1:15">
      <c r="A27" s="71" t="s">
        <v>49</v>
      </c>
      <c r="B27" s="65">
        <f>795114</f>
        <v>795114</v>
      </c>
      <c r="C27" s="65">
        <v>788648</v>
      </c>
      <c r="D27" s="65">
        <v>833199</v>
      </c>
      <c r="E27" s="65">
        <v>547513</v>
      </c>
      <c r="F27" s="61">
        <v>756858</v>
      </c>
      <c r="G27" s="61">
        <v>682899</v>
      </c>
      <c r="H27" s="66">
        <v>608375</v>
      </c>
      <c r="I27" s="61">
        <v>873338</v>
      </c>
      <c r="J27" s="61">
        <v>1046469</v>
      </c>
      <c r="K27" s="61">
        <v>631614</v>
      </c>
      <c r="L27" s="61">
        <v>701617</v>
      </c>
      <c r="M27" s="68">
        <v>833384</v>
      </c>
      <c r="N27" s="61">
        <f>SUM(B27:M27)</f>
        <v>9099028</v>
      </c>
      <c r="O27" s="117">
        <f>N27/12</f>
        <v>758252.33333333337</v>
      </c>
    </row>
    <row r="28" spans="1:15">
      <c r="O28" s="117"/>
    </row>
    <row r="29" spans="1:15">
      <c r="A29" s="71" t="s">
        <v>315</v>
      </c>
      <c r="B29" s="63" t="s">
        <v>48</v>
      </c>
      <c r="C29" s="63" t="s">
        <v>55</v>
      </c>
      <c r="D29" s="63" t="s">
        <v>56</v>
      </c>
      <c r="E29" s="63" t="s">
        <v>121</v>
      </c>
      <c r="F29" s="63" t="s">
        <v>78</v>
      </c>
      <c r="G29" s="63" t="s">
        <v>34</v>
      </c>
      <c r="H29" s="137" t="s">
        <v>26</v>
      </c>
      <c r="I29" s="63" t="s">
        <v>25</v>
      </c>
      <c r="J29" s="63" t="s">
        <v>122</v>
      </c>
      <c r="K29" s="63" t="s">
        <v>40</v>
      </c>
      <c r="L29" s="63" t="s">
        <v>41</v>
      </c>
      <c r="M29" s="64" t="s">
        <v>125</v>
      </c>
      <c r="N29" s="61"/>
      <c r="O29" s="117"/>
    </row>
    <row r="30" spans="1:15">
      <c r="A30" s="71" t="s">
        <v>49</v>
      </c>
      <c r="B30" s="65">
        <v>957039</v>
      </c>
      <c r="C30" s="65">
        <v>678978</v>
      </c>
      <c r="D30" s="65">
        <v>680806</v>
      </c>
      <c r="E30" s="65">
        <v>846460</v>
      </c>
      <c r="F30" s="61">
        <v>1078213</v>
      </c>
      <c r="G30" s="61">
        <v>902620</v>
      </c>
      <c r="H30" s="66">
        <v>1166019</v>
      </c>
      <c r="I30" s="61">
        <v>1002601</v>
      </c>
      <c r="J30" s="61">
        <v>1541630</v>
      </c>
      <c r="K30" s="61">
        <v>1551644</v>
      </c>
      <c r="L30" s="61">
        <v>1193792</v>
      </c>
      <c r="M30" s="68">
        <v>1296269</v>
      </c>
      <c r="N30" s="61">
        <f>SUM(B30:M30)</f>
        <v>12896071</v>
      </c>
      <c r="O30" s="117">
        <f>N30/12</f>
        <v>1074672.5833333333</v>
      </c>
    </row>
    <row r="32" spans="1:15">
      <c r="A32" s="71" t="s">
        <v>324</v>
      </c>
      <c r="B32" s="63" t="s">
        <v>48</v>
      </c>
      <c r="C32" s="63" t="s">
        <v>55</v>
      </c>
      <c r="D32" s="63" t="s">
        <v>56</v>
      </c>
      <c r="E32" s="63" t="s">
        <v>121</v>
      </c>
      <c r="F32" s="63" t="s">
        <v>78</v>
      </c>
      <c r="G32" s="63" t="s">
        <v>34</v>
      </c>
      <c r="H32" s="137" t="s">
        <v>26</v>
      </c>
      <c r="I32" s="63" t="s">
        <v>25</v>
      </c>
      <c r="J32" s="63" t="s">
        <v>122</v>
      </c>
      <c r="K32" s="63" t="s">
        <v>40</v>
      </c>
      <c r="L32" s="63" t="s">
        <v>41</v>
      </c>
      <c r="M32" s="64" t="s">
        <v>125</v>
      </c>
      <c r="N32" s="61"/>
      <c r="O32" s="117"/>
    </row>
    <row r="33" spans="1:15">
      <c r="A33" s="71" t="s">
        <v>49</v>
      </c>
      <c r="B33" s="65">
        <v>1408199</v>
      </c>
      <c r="C33" s="65">
        <v>924536</v>
      </c>
      <c r="D33" s="65">
        <v>971564</v>
      </c>
      <c r="E33" s="65">
        <v>714709</v>
      </c>
      <c r="F33" s="61">
        <v>982445</v>
      </c>
      <c r="G33" s="61">
        <v>704302</v>
      </c>
      <c r="H33" s="66">
        <v>607728</v>
      </c>
      <c r="I33" s="61">
        <v>653089</v>
      </c>
      <c r="J33" s="61">
        <v>826410</v>
      </c>
      <c r="K33" s="61">
        <v>587527</v>
      </c>
      <c r="L33" s="61">
        <v>766512</v>
      </c>
      <c r="M33" s="68"/>
      <c r="N33" s="61">
        <f>SUM(B33:M33)</f>
        <v>9147021</v>
      </c>
      <c r="O33" s="117">
        <f>N33/11</f>
        <v>831547.36363636365</v>
      </c>
    </row>
  </sheetData>
  <mergeCells count="1">
    <mergeCell ref="A1:XFD9"/>
  </mergeCells>
  <phoneticPr fontId="3" type="noConversion"/>
  <pageMargins left="0.75000000000000011" right="0.75000000000000011" top="0.75" bottom="0.75" header="0.5" footer="0.5"/>
  <pageSetup paperSize="9" orientation="landscape" horizontalDpi="4294967292" verticalDpi="429496729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72"/>
  <sheetViews>
    <sheetView topLeftCell="H8" workbookViewId="0">
      <selection activeCell="L23" sqref="L23"/>
    </sheetView>
  </sheetViews>
  <sheetFormatPr defaultColWidth="8.85546875" defaultRowHeight="12"/>
  <cols>
    <col min="1" max="1" width="8.85546875" style="139"/>
    <col min="2" max="12" width="8" style="139" customWidth="1"/>
    <col min="13" max="16384" width="8.85546875" style="139"/>
  </cols>
  <sheetData>
    <row r="1" spans="1:16" s="362" customFormat="1" ht="12.75"/>
    <row r="2" spans="1:16" s="362" customFormat="1" ht="12.75"/>
    <row r="3" spans="1:16" s="362" customFormat="1" ht="12.75"/>
    <row r="4" spans="1:16" s="362" customFormat="1" ht="12.75"/>
    <row r="5" spans="1:16" s="362" customFormat="1" ht="12.75"/>
    <row r="6" spans="1:16" s="362" customFormat="1" ht="12.75"/>
    <row r="7" spans="1:16" s="362" customFormat="1" ht="12.75"/>
    <row r="8" spans="1:16" s="362" customFormat="1" ht="24" customHeight="1"/>
    <row r="9" spans="1:16" ht="17.100000000000001" customHeight="1">
      <c r="A9" s="138"/>
      <c r="P9" s="138"/>
    </row>
    <row r="11" spans="1:16">
      <c r="A11" s="140" t="s">
        <v>149</v>
      </c>
      <c r="B11" s="141" t="s">
        <v>118</v>
      </c>
      <c r="C11" s="141" t="s">
        <v>188</v>
      </c>
      <c r="D11" s="141" t="s">
        <v>131</v>
      </c>
      <c r="E11" s="141" t="s">
        <v>185</v>
      </c>
      <c r="F11" s="141" t="s">
        <v>0</v>
      </c>
      <c r="G11" s="141" t="s">
        <v>104</v>
      </c>
      <c r="H11" s="141" t="s">
        <v>105</v>
      </c>
      <c r="I11" s="141" t="s">
        <v>259</v>
      </c>
      <c r="J11" s="141" t="s">
        <v>225</v>
      </c>
      <c r="K11" s="142" t="s">
        <v>313</v>
      </c>
      <c r="L11" s="142" t="s">
        <v>323</v>
      </c>
      <c r="M11" s="143"/>
    </row>
    <row r="12" spans="1:16">
      <c r="A12" s="144" t="s">
        <v>182</v>
      </c>
      <c r="B12" s="145">
        <f>Monthly_Imports!B13</f>
        <v>105977</v>
      </c>
      <c r="C12" s="145">
        <f>Monthly_Imports!B19</f>
        <v>119475</v>
      </c>
      <c r="D12" s="145">
        <f>Monthly_Imports!B25</f>
        <v>61442</v>
      </c>
      <c r="E12" s="145">
        <f>Monthly_Imports!B31</f>
        <v>123122</v>
      </c>
      <c r="F12" s="146">
        <f>Monthly_Imports!$B$37</f>
        <v>121435</v>
      </c>
      <c r="G12" s="146">
        <f>Monthly_Imports!$B$43</f>
        <v>116573</v>
      </c>
      <c r="H12" s="146">
        <f>Monthly_Imports!B49</f>
        <v>117802</v>
      </c>
      <c r="I12" s="146">
        <f>Monthly_Imports!B55</f>
        <v>79335</v>
      </c>
      <c r="J12" s="146">
        <f>Monthly_Imports!B61</f>
        <v>85216</v>
      </c>
      <c r="K12" s="147">
        <f>Monthly_Imports!B67</f>
        <v>83103</v>
      </c>
      <c r="L12" s="147">
        <f>Monthly_Imports!B73</f>
        <v>94350</v>
      </c>
      <c r="M12" s="148"/>
    </row>
    <row r="13" spans="1:16">
      <c r="A13" s="144" t="s">
        <v>108</v>
      </c>
      <c r="B13" s="145">
        <f>B12+Monthly_Imports!C$13</f>
        <v>222826</v>
      </c>
      <c r="C13" s="145">
        <f>C12+Monthly_Imports!C$19</f>
        <v>271023</v>
      </c>
      <c r="D13" s="145">
        <f>D12+Monthly_Imports!C$25</f>
        <v>192230</v>
      </c>
      <c r="E13" s="145">
        <f>E12+Monthly_Imports!C$31</f>
        <v>257725</v>
      </c>
      <c r="F13" s="146">
        <f>F12+Monthly_Imports!$C$37</f>
        <v>247817</v>
      </c>
      <c r="G13" s="146">
        <f>G12+Monthly_Imports!C43</f>
        <v>251759</v>
      </c>
      <c r="H13" s="146">
        <f>H12+Monthly_Imports!C49</f>
        <v>256913</v>
      </c>
      <c r="I13" s="146">
        <f>I12+Monthly_Imports!C55</f>
        <v>220956</v>
      </c>
      <c r="J13" s="146">
        <f>J12+Monthly_Imports!C61</f>
        <v>208637</v>
      </c>
      <c r="K13" s="147">
        <f>K12+Monthly_Imports!C67</f>
        <v>208972</v>
      </c>
      <c r="L13" s="147">
        <f>L12+Monthly_Imports!C73</f>
        <v>208834</v>
      </c>
      <c r="M13" s="148"/>
    </row>
    <row r="14" spans="1:16">
      <c r="A14" s="144" t="s">
        <v>109</v>
      </c>
      <c r="B14" s="145">
        <f>B13+Monthly_Imports!D$13</f>
        <v>365617</v>
      </c>
      <c r="C14" s="145">
        <f>C13+Monthly_Imports!D$19</f>
        <v>451713</v>
      </c>
      <c r="D14" s="145">
        <f>D13+Monthly_Imports!D$25</f>
        <v>359684</v>
      </c>
      <c r="E14" s="145">
        <f>E13+Monthly_Imports!D$31</f>
        <v>430188</v>
      </c>
      <c r="F14" s="146">
        <f>F13+Monthly_Imports!$D$37</f>
        <v>408088</v>
      </c>
      <c r="G14" s="146">
        <f>G13+Monthly_Imports!D43</f>
        <v>422637</v>
      </c>
      <c r="H14" s="146">
        <f>H13+Monthly_Imports!D49</f>
        <v>434857</v>
      </c>
      <c r="I14" s="146">
        <f>I13+Monthly_Imports!$D$55</f>
        <v>347790</v>
      </c>
      <c r="J14" s="146">
        <f>J13+Monthly_Imports!D61</f>
        <v>351183</v>
      </c>
      <c r="K14" s="147">
        <f>K13+Monthly_Imports!D67</f>
        <v>342710</v>
      </c>
      <c r="L14" s="147">
        <f>L13+Monthly_Imports!D73</f>
        <v>348122</v>
      </c>
      <c r="M14" s="148"/>
    </row>
    <row r="15" spans="1:16">
      <c r="A15" s="144" t="s">
        <v>110</v>
      </c>
      <c r="B15" s="145">
        <f>B14+Monthly_Imports!E$13</f>
        <v>563432</v>
      </c>
      <c r="C15" s="145">
        <f>C14+Monthly_Imports!E$19</f>
        <v>616995</v>
      </c>
      <c r="D15" s="145">
        <f>D14+Monthly_Imports!E$25</f>
        <v>495269</v>
      </c>
      <c r="E15" s="145">
        <f>E14+Monthly_Imports!E$31</f>
        <v>620754</v>
      </c>
      <c r="F15" s="146">
        <f>F14+Monthly_Imports!E37</f>
        <v>560939</v>
      </c>
      <c r="G15" s="146">
        <f>G14+Monthly_Imports!$E$43</f>
        <v>652416</v>
      </c>
      <c r="H15" s="146">
        <f>H14+Monthly_Imports!E49</f>
        <v>647106</v>
      </c>
      <c r="I15" s="146">
        <f>I14+Monthly_Imports!E55</f>
        <v>515599</v>
      </c>
      <c r="J15" s="146">
        <f>+J14+Monthly_Imports!E61</f>
        <v>545664</v>
      </c>
      <c r="K15" s="147">
        <f>K14+Monthly_Imports!E67</f>
        <v>521630</v>
      </c>
      <c r="L15" s="147">
        <f>L14+Monthly_Imports!E73</f>
        <v>550879</v>
      </c>
      <c r="M15" s="148"/>
    </row>
    <row r="16" spans="1:16">
      <c r="A16" s="144" t="s">
        <v>111</v>
      </c>
      <c r="B16" s="145">
        <f>B15+Monthly_Imports!F$13</f>
        <v>742863</v>
      </c>
      <c r="C16" s="145">
        <f>C15+Monthly_Imports!F$19</f>
        <v>794889</v>
      </c>
      <c r="D16" s="145">
        <f>D15+Monthly_Imports!F$25</f>
        <v>651764</v>
      </c>
      <c r="E16" s="145">
        <f>E15+Monthly_Imports!F$31</f>
        <v>808538</v>
      </c>
      <c r="F16" s="146">
        <f>F15+Monthly_Imports!F37</f>
        <v>776341</v>
      </c>
      <c r="G16" s="146">
        <f>G15+Monthly_Imports!$F$43</f>
        <v>845223</v>
      </c>
      <c r="H16" s="146">
        <f>H15+Monthly_Imports!F49</f>
        <v>844902</v>
      </c>
      <c r="I16" s="146">
        <f>I15+Monthly_Imports!F55</f>
        <v>707476</v>
      </c>
      <c r="J16" s="146">
        <f>J15+Monthly_Imports!F61</f>
        <v>750949</v>
      </c>
      <c r="K16" s="147">
        <f>K15+Monthly_Imports!F67</f>
        <v>668161</v>
      </c>
      <c r="L16" s="147">
        <f>L15+Monthly_Imports!F73</f>
        <v>705386</v>
      </c>
      <c r="M16" s="148"/>
    </row>
    <row r="17" spans="1:29">
      <c r="A17" s="144" t="s">
        <v>18</v>
      </c>
      <c r="B17" s="145">
        <f>B16+Monthly_Imports!G$13</f>
        <v>812613</v>
      </c>
      <c r="C17" s="145">
        <f>C16+Monthly_Imports!G$19</f>
        <v>881661</v>
      </c>
      <c r="D17" s="145">
        <f>D16+Monthly_Imports!G$25</f>
        <v>747091</v>
      </c>
      <c r="E17" s="145">
        <f>E16+Monthly_Imports!G$31</f>
        <v>937972</v>
      </c>
      <c r="F17" s="146">
        <f>F16+Monthly_Imports!G37</f>
        <v>887423</v>
      </c>
      <c r="G17" s="146">
        <f>G16+Monthly_Imports!G43</f>
        <v>964080</v>
      </c>
      <c r="H17" s="146">
        <f>H16+Monthly_Imports!G49</f>
        <v>922830</v>
      </c>
      <c r="I17" s="146">
        <f>I16+Monthly_Imports!G55</f>
        <v>803162</v>
      </c>
      <c r="J17" s="146">
        <f>J16+Monthly_Imports!G61</f>
        <v>852575</v>
      </c>
      <c r="K17" s="147">
        <f>K16+Monthly_Imports!G67</f>
        <v>750690</v>
      </c>
      <c r="L17" s="147">
        <f>L16+Monthly_Imports!G73</f>
        <v>797973</v>
      </c>
      <c r="M17" s="148"/>
    </row>
    <row r="18" spans="1:29">
      <c r="A18" s="144" t="s">
        <v>249</v>
      </c>
      <c r="B18" s="145">
        <f>B17+Monthly_Imports!H$13</f>
        <v>865212</v>
      </c>
      <c r="C18" s="145">
        <f>C17+Monthly_Imports!H$19</f>
        <v>931447</v>
      </c>
      <c r="D18" s="145">
        <f>D17+Monthly_Imports!H$25</f>
        <v>810324</v>
      </c>
      <c r="E18" s="145">
        <f>E17+Monthly_Imports!H$31</f>
        <v>1017990</v>
      </c>
      <c r="F18" s="146">
        <f>F17+Monthly_Imports!H37</f>
        <v>965534.9</v>
      </c>
      <c r="G18" s="146">
        <f>G17+Monthly_Imports!H43</f>
        <v>1032966</v>
      </c>
      <c r="H18" s="146">
        <f>H17+Monthly_Imports!H49</f>
        <v>973475</v>
      </c>
      <c r="I18" s="146">
        <f>I17+Monthly_Imports!H55</f>
        <v>888750</v>
      </c>
      <c r="J18" s="146">
        <f>J17+Monthly_Imports!H61</f>
        <v>950015</v>
      </c>
      <c r="K18" s="147">
        <f>K17+Monthly_Imports!H67</f>
        <v>826995</v>
      </c>
      <c r="L18" s="147">
        <f>L17+Monthly_Imports!H73</f>
        <v>866467</v>
      </c>
      <c r="M18" s="148"/>
    </row>
    <row r="19" spans="1:29">
      <c r="A19" s="144" t="s">
        <v>177</v>
      </c>
      <c r="B19" s="145">
        <f>B18+Monthly_Imports!I$13</f>
        <v>936208</v>
      </c>
      <c r="C19" s="145">
        <f>C18+Monthly_Imports!I$19</f>
        <v>985796</v>
      </c>
      <c r="D19" s="145">
        <f>D18+Monthly_Imports!I$25</f>
        <v>859482</v>
      </c>
      <c r="E19" s="145">
        <f>E18+Monthly_Imports!I$31</f>
        <v>1080872</v>
      </c>
      <c r="F19" s="146">
        <f>F18+Monthly_Imports!$I$37</f>
        <v>1020767.9</v>
      </c>
      <c r="G19" s="146">
        <f>G18+Monthly_Imports!I43</f>
        <v>1099659</v>
      </c>
      <c r="H19" s="146">
        <f>H18+Monthly_Imports!I49</f>
        <v>1050164</v>
      </c>
      <c r="I19" s="146">
        <f>I18+Monthly_Imports!I55</f>
        <v>959454</v>
      </c>
      <c r="J19" s="146">
        <f>J18+Monthly_Imports!I61</f>
        <v>1012294</v>
      </c>
      <c r="K19" s="147">
        <f>K18+Monthly_Imports!I67</f>
        <v>897179</v>
      </c>
      <c r="L19" s="147">
        <f>L18+Monthly_Imports!I73</f>
        <v>911699</v>
      </c>
      <c r="M19" s="148"/>
    </row>
    <row r="20" spans="1:29" ht="12" customHeight="1">
      <c r="A20" s="144" t="s">
        <v>178</v>
      </c>
      <c r="B20" s="145">
        <f>B19+Monthly_Imports!J$13</f>
        <v>992152</v>
      </c>
      <c r="C20" s="145">
        <f>C19+Monthly_Imports!J$19</f>
        <v>1036262</v>
      </c>
      <c r="D20" s="145">
        <f>D19+Monthly_Imports!J$25</f>
        <v>918874</v>
      </c>
      <c r="E20" s="145">
        <f>E19+Monthly_Imports!J$31</f>
        <v>1125639</v>
      </c>
      <c r="F20" s="146">
        <f>F19+Monthly_Imports!J37</f>
        <v>1067979.8999999999</v>
      </c>
      <c r="G20" s="146">
        <f>G19+Monthly_Imports!J43</f>
        <v>1140559</v>
      </c>
      <c r="H20" s="146">
        <f>H19+Monthly_Imports!J49</f>
        <v>1095033</v>
      </c>
      <c r="I20" s="146">
        <f>I19+Monthly_Imports!J55</f>
        <v>1015787.9</v>
      </c>
      <c r="J20" s="146">
        <f>J19+Monthly_Imports!J61</f>
        <v>1085478</v>
      </c>
      <c r="K20" s="147">
        <f>K19+Monthly_Imports!J67</f>
        <v>941058</v>
      </c>
      <c r="L20" s="147">
        <f>L19+Monthly_Imports!J73</f>
        <v>951399</v>
      </c>
      <c r="M20" s="148"/>
      <c r="AC20" s="149"/>
    </row>
    <row r="21" spans="1:29">
      <c r="A21" s="144" t="s">
        <v>179</v>
      </c>
      <c r="B21" s="145">
        <f>B20+Monthly_Imports!K$13</f>
        <v>1036547</v>
      </c>
      <c r="C21" s="145">
        <f>C20+Monthly_Imports!K$19</f>
        <v>1074326</v>
      </c>
      <c r="D21" s="145">
        <f>D20+Monthly_Imports!K$25</f>
        <v>973057</v>
      </c>
      <c r="E21" s="145">
        <f>E20+Monthly_Imports!K31</f>
        <v>1180817</v>
      </c>
      <c r="F21" s="146">
        <f>F20+Monthly_Imports!K37</f>
        <v>1116795.8999999999</v>
      </c>
      <c r="G21" s="146">
        <f>G20+Monthly_Imports!K43</f>
        <v>1216996</v>
      </c>
      <c r="H21" s="146">
        <f>H20+Monthly_Imports!K49</f>
        <v>1131266</v>
      </c>
      <c r="I21" s="146">
        <f>I20+Monthly_Imports!K55</f>
        <v>1064013.8999999999</v>
      </c>
      <c r="J21" s="146">
        <f>J20+Monthly_Imports!K61</f>
        <v>1132853</v>
      </c>
      <c r="K21" s="147">
        <f>K20+Monthly_Imports!K67</f>
        <v>1000070</v>
      </c>
      <c r="L21" s="147">
        <f>L20+Monthly_Imports!K73</f>
        <v>989766</v>
      </c>
      <c r="M21" s="148"/>
    </row>
    <row r="22" spans="1:29">
      <c r="A22" s="144" t="s">
        <v>180</v>
      </c>
      <c r="B22" s="145">
        <f>B21+Monthly_Imports!L$13</f>
        <v>1150610</v>
      </c>
      <c r="C22" s="145">
        <f>C21+Monthly_Imports!L$19</f>
        <v>1136380</v>
      </c>
      <c r="D22" s="145">
        <f>D21+Monthly_Imports!L$25</f>
        <v>1080258</v>
      </c>
      <c r="E22" s="145">
        <f>E21+Monthly_Imports!L31</f>
        <v>1329323</v>
      </c>
      <c r="F22" s="146">
        <f>F21+Monthly_Imports!L37</f>
        <v>1213089.8999999999</v>
      </c>
      <c r="G22" s="146">
        <f>G21+Monthly_Imports!L43</f>
        <v>1292653</v>
      </c>
      <c r="H22" s="146">
        <f>H21+Monthly_Imports!$L$49</f>
        <v>1207552</v>
      </c>
      <c r="I22" s="146">
        <f>I21+Monthly_Imports!L55</f>
        <v>1135469.8999999999</v>
      </c>
      <c r="J22" s="146">
        <f>J21+Monthly_Imports!L61</f>
        <v>1205111</v>
      </c>
      <c r="K22" s="147">
        <f>K21+Monthly_Imports!L67</f>
        <v>1064288</v>
      </c>
      <c r="L22" s="147">
        <f>L21+Monthly_Imports!L73</f>
        <v>1071433</v>
      </c>
      <c r="M22" s="148"/>
    </row>
    <row r="23" spans="1:29">
      <c r="A23" s="144" t="s">
        <v>181</v>
      </c>
      <c r="B23" s="145">
        <f>B22+Monthly_Imports!M$13</f>
        <v>1244398</v>
      </c>
      <c r="C23" s="145">
        <f>C22+Monthly_Imports!M$19</f>
        <v>1218086</v>
      </c>
      <c r="D23" s="145">
        <f>D22+Monthly_Imports!M$25</f>
        <v>1166712</v>
      </c>
      <c r="E23" s="145">
        <f>E22+Monthly_Imports!M31</f>
        <v>1416413</v>
      </c>
      <c r="F23" s="146">
        <f>F22+Monthly_Imports!M37</f>
        <v>1309008.8999999999</v>
      </c>
      <c r="G23" s="146">
        <f>G22+Monthly_Imports!M43</f>
        <v>1419825</v>
      </c>
      <c r="H23" s="146">
        <f>H22+Monthly_Imports!M49</f>
        <v>1282076.7</v>
      </c>
      <c r="I23" s="146">
        <f>I22+Monthly_Imports!M55</f>
        <v>1177783.8999999999</v>
      </c>
      <c r="J23" s="146">
        <f>J22+Monthly_Imports!M61</f>
        <v>1278713</v>
      </c>
      <c r="K23" s="147">
        <f>K22+Monthly_Imports!M67</f>
        <v>1132225</v>
      </c>
      <c r="L23" s="147"/>
      <c r="M23" s="148"/>
    </row>
    <row r="33" spans="1:16">
      <c r="P33" s="138" t="s">
        <v>235</v>
      </c>
    </row>
    <row r="35" spans="1:16">
      <c r="A35" s="140" t="s">
        <v>149</v>
      </c>
      <c r="B35" s="141" t="s">
        <v>118</v>
      </c>
      <c r="C35" s="141" t="s">
        <v>188</v>
      </c>
      <c r="D35" s="141" t="s">
        <v>131</v>
      </c>
      <c r="E35" s="141" t="s">
        <v>185</v>
      </c>
      <c r="F35" s="141" t="s">
        <v>0</v>
      </c>
      <c r="G35" s="141" t="s">
        <v>104</v>
      </c>
      <c r="H35" s="150" t="s">
        <v>106</v>
      </c>
      <c r="I35" s="150" t="s">
        <v>259</v>
      </c>
      <c r="J35" s="150" t="s">
        <v>227</v>
      </c>
      <c r="K35" s="151" t="s">
        <v>313</v>
      </c>
      <c r="L35" s="151" t="s">
        <v>323</v>
      </c>
    </row>
    <row r="36" spans="1:16">
      <c r="A36" s="144" t="s">
        <v>182</v>
      </c>
      <c r="B36" s="145">
        <f>Monthly_Imports!B10</f>
        <v>34099</v>
      </c>
      <c r="C36" s="145">
        <f>Monthly_Imports!B16</f>
        <v>43103</v>
      </c>
      <c r="D36" s="145">
        <f>Monthly_Imports!B22</f>
        <v>14787</v>
      </c>
      <c r="E36" s="145">
        <f>Monthly_Imports!B28</f>
        <v>31549</v>
      </c>
      <c r="F36" s="146">
        <f>Monthly_Imports!$B$34</f>
        <v>39011</v>
      </c>
      <c r="G36" s="146">
        <f>Monthly_Imports!$B$40</f>
        <v>37556</v>
      </c>
      <c r="H36" s="146">
        <f>Monthly_Imports!B46</f>
        <v>35759</v>
      </c>
      <c r="I36" s="146">
        <f>Monthly_Imports!B52</f>
        <v>22307</v>
      </c>
      <c r="J36" s="146">
        <f>Monthly_Imports!B58</f>
        <v>26894</v>
      </c>
      <c r="K36" s="147">
        <f>Monthly_Imports!B64</f>
        <v>27361</v>
      </c>
      <c r="L36" s="147">
        <f>Monthly_Imports!B70</f>
        <v>35263</v>
      </c>
    </row>
    <row r="37" spans="1:16">
      <c r="A37" s="144" t="s">
        <v>108</v>
      </c>
      <c r="B37" s="145">
        <f>B36+Monthly_Imports!C$10</f>
        <v>81818</v>
      </c>
      <c r="C37" s="145">
        <f>C36+Monthly_Imports!C$16</f>
        <v>98533</v>
      </c>
      <c r="D37" s="145">
        <f>D36+Monthly_Imports!C$22</f>
        <v>52854</v>
      </c>
      <c r="E37" s="145">
        <f>E36+Monthly_Imports!C$28</f>
        <v>71990</v>
      </c>
      <c r="F37" s="146">
        <f>F36+Monthly_Imports!$C$34</f>
        <v>82499</v>
      </c>
      <c r="G37" s="146">
        <f>G36+Monthly_Imports!C40</f>
        <v>77784</v>
      </c>
      <c r="H37" s="146">
        <f>H36+Monthly_Imports!C46</f>
        <v>73253</v>
      </c>
      <c r="I37" s="146">
        <f>I36+Monthly_Imports!C52</f>
        <v>62901</v>
      </c>
      <c r="J37" s="146">
        <f>J36+Monthly_Imports!C58</f>
        <v>79959</v>
      </c>
      <c r="K37" s="147">
        <f>K36+Monthly_Imports!C64</f>
        <v>71776</v>
      </c>
      <c r="L37" s="147">
        <f>L36+Monthly_Imports!C70</f>
        <v>69062</v>
      </c>
    </row>
    <row r="38" spans="1:16">
      <c r="A38" s="144" t="s">
        <v>109</v>
      </c>
      <c r="B38" s="145">
        <f>B37+Monthly_Imports!D$10</f>
        <v>134213</v>
      </c>
      <c r="C38" s="145">
        <f>C37+Monthly_Imports!D$16</f>
        <v>151375</v>
      </c>
      <c r="D38" s="145">
        <f>D37+Monthly_Imports!D$22</f>
        <v>115168</v>
      </c>
      <c r="E38" s="145">
        <f>E37+Monthly_Imports!D$28</f>
        <v>128002</v>
      </c>
      <c r="F38" s="146">
        <f>F37+Monthly_Imports!$D$34</f>
        <v>143281</v>
      </c>
      <c r="G38" s="146">
        <f>G37+Monthly_Imports!D40</f>
        <v>133591</v>
      </c>
      <c r="H38" s="146">
        <f>H37+Monthly_Imports!D46</f>
        <v>132505</v>
      </c>
      <c r="I38" s="146">
        <f>I37+Monthly_Imports!$D$52</f>
        <v>101758</v>
      </c>
      <c r="J38" s="146">
        <f>J37+Monthly_Imports!D58</f>
        <v>129920</v>
      </c>
      <c r="K38" s="147">
        <f>K37+Monthly_Imports!D64</f>
        <v>115065</v>
      </c>
      <c r="L38" s="147">
        <f>L37+Monthly_Imports!D70</f>
        <v>114258</v>
      </c>
    </row>
    <row r="39" spans="1:16">
      <c r="A39" s="144" t="s">
        <v>110</v>
      </c>
      <c r="B39" s="145">
        <f>B38+Monthly_Imports!E$10</f>
        <v>207095</v>
      </c>
      <c r="C39" s="145">
        <f>C38+Monthly_Imports!E$16</f>
        <v>210561</v>
      </c>
      <c r="D39" s="145">
        <f>D38+Monthly_Imports!E$22</f>
        <v>155703</v>
      </c>
      <c r="E39" s="145">
        <f>E38+Monthly_Imports!E$28</f>
        <v>182405</v>
      </c>
      <c r="F39" s="146">
        <f>F38+Monthly_Imports!E34</f>
        <v>197397</v>
      </c>
      <c r="G39" s="146">
        <f>G38+Monthly_Imports!$E$40</f>
        <v>213873</v>
      </c>
      <c r="H39" s="146">
        <f>H38+Monthly_Imports!E46</f>
        <v>220769</v>
      </c>
      <c r="I39" s="146">
        <f>I38+Monthly_Imports!E52</f>
        <v>168391</v>
      </c>
      <c r="J39" s="146">
        <f>J38+Monthly_Imports!E58</f>
        <v>204119</v>
      </c>
      <c r="K39" s="147">
        <f>K38+Monthly_Imports!E64</f>
        <v>192823</v>
      </c>
      <c r="L39" s="147">
        <f>L38+Monthly_Imports!E70</f>
        <v>197477</v>
      </c>
    </row>
    <row r="40" spans="1:16">
      <c r="A40" s="144" t="s">
        <v>111</v>
      </c>
      <c r="B40" s="145">
        <f>B39+Monthly_Imports!F$10</f>
        <v>273135</v>
      </c>
      <c r="C40" s="145">
        <f>C39+Monthly_Imports!F$16</f>
        <v>272413</v>
      </c>
      <c r="D40" s="145">
        <f>D39+Monthly_Imports!F$22</f>
        <v>207721</v>
      </c>
      <c r="E40" s="145">
        <f>E39+Monthly_Imports!F$28</f>
        <v>251457</v>
      </c>
      <c r="F40" s="146">
        <f>F39+Monthly_Imports!F34</f>
        <v>265098</v>
      </c>
      <c r="G40" s="146">
        <f>G39+Monthly_Imports!$F$40</f>
        <v>279153</v>
      </c>
      <c r="H40" s="146">
        <f>H39+Monthly_Imports!F46</f>
        <v>317342</v>
      </c>
      <c r="I40" s="146">
        <f>I39+Monthly_Imports!F52</f>
        <v>244518</v>
      </c>
      <c r="J40" s="146">
        <f>J39+Monthly_Imports!F58</f>
        <v>285768</v>
      </c>
      <c r="K40" s="147">
        <f>K39+Monthly_Imports!F64</f>
        <v>250562</v>
      </c>
      <c r="L40" s="147">
        <f>L39+Monthly_Imports!F70</f>
        <v>265269</v>
      </c>
    </row>
    <row r="41" spans="1:16">
      <c r="A41" s="144" t="s">
        <v>18</v>
      </c>
      <c r="B41" s="145">
        <f>B40+Monthly_Imports!G$10</f>
        <v>293162</v>
      </c>
      <c r="C41" s="145">
        <f>C40+Monthly_Imports!G$16</f>
        <v>291424</v>
      </c>
      <c r="D41" s="145">
        <f>D40+Monthly_Imports!G$22</f>
        <v>239586</v>
      </c>
      <c r="E41" s="145">
        <f>E40+Monthly_Imports!G$28</f>
        <v>279944</v>
      </c>
      <c r="F41" s="146">
        <f>F40+Monthly_Imports!G34</f>
        <v>293761</v>
      </c>
      <c r="G41" s="146">
        <f>G40+Monthly_Imports!G40</f>
        <v>310402</v>
      </c>
      <c r="H41" s="146">
        <f>H40+Monthly_Imports!G46</f>
        <v>337725</v>
      </c>
      <c r="I41" s="146">
        <f>I40+Monthly_Imports!G52</f>
        <v>272898</v>
      </c>
      <c r="J41" s="146">
        <f>J40+Monthly_Imports!G58</f>
        <v>311727</v>
      </c>
      <c r="K41" s="147">
        <f>K40+Monthly_Imports!G64</f>
        <v>276807</v>
      </c>
      <c r="L41" s="147">
        <f>L40+Monthly_Imports!G70</f>
        <v>296217</v>
      </c>
    </row>
    <row r="42" spans="1:16">
      <c r="A42" s="144" t="s">
        <v>249</v>
      </c>
      <c r="B42" s="145">
        <f>B41+Monthly_Imports!H$10</f>
        <v>301439</v>
      </c>
      <c r="C42" s="145">
        <f>C41+Monthly_Imports!H$16</f>
        <v>306081</v>
      </c>
      <c r="D42" s="145">
        <f>D41+Monthly_Imports!H$22</f>
        <v>256037</v>
      </c>
      <c r="E42" s="145">
        <f>E41+Monthly_Imports!H$28</f>
        <v>303484</v>
      </c>
      <c r="F42" s="146">
        <f>F41+Monthly_Imports!H34</f>
        <v>313309.90000000002</v>
      </c>
      <c r="G42" s="146">
        <f>G41+Monthly_Imports!H40</f>
        <v>328731</v>
      </c>
      <c r="H42" s="146">
        <f>H41+Monthly_Imports!H46</f>
        <v>352942</v>
      </c>
      <c r="I42" s="146">
        <f>I41+Monthly_Imports!H52</f>
        <v>300608</v>
      </c>
      <c r="J42" s="146">
        <f>J41+Monthly_Imports!H58</f>
        <v>347356</v>
      </c>
      <c r="K42" s="147">
        <f>K41+Monthly_Imports!H64</f>
        <v>303297</v>
      </c>
      <c r="L42" s="147">
        <f>L41+Monthly_Imports!H70</f>
        <v>313237</v>
      </c>
    </row>
    <row r="43" spans="1:16">
      <c r="A43" s="144" t="s">
        <v>177</v>
      </c>
      <c r="B43" s="145">
        <f>B42+Monthly_Imports!I$10</f>
        <v>326409</v>
      </c>
      <c r="C43" s="145">
        <f>C42+Monthly_Imports!I$16</f>
        <v>315309</v>
      </c>
      <c r="D43" s="145">
        <f>D42+Monthly_Imports!I$22</f>
        <v>271532</v>
      </c>
      <c r="E43" s="145">
        <f>E42+Monthly_Imports!I$28</f>
        <v>320936</v>
      </c>
      <c r="F43" s="146">
        <f>F42+Monthly_Imports!$I$34</f>
        <v>325905.90000000002</v>
      </c>
      <c r="G43" s="146">
        <f>G42+Monthly_Imports!I40</f>
        <v>346909</v>
      </c>
      <c r="H43" s="146">
        <f>H42+Monthly_Imports!I46</f>
        <v>379231</v>
      </c>
      <c r="I43" s="146">
        <f>I42+Monthly_Imports!I52</f>
        <v>322748</v>
      </c>
      <c r="J43" s="146">
        <f>J42+Monthly_Imports!I58</f>
        <v>361334</v>
      </c>
      <c r="K43" s="147">
        <f>K42+Monthly_Imports!I64</f>
        <v>322249</v>
      </c>
      <c r="L43" s="147">
        <f>L42+Monthly_Imports!I70</f>
        <v>326979</v>
      </c>
    </row>
    <row r="44" spans="1:16">
      <c r="A44" s="144" t="s">
        <v>178</v>
      </c>
      <c r="B44" s="145">
        <f>B43+Monthly_Imports!J$10</f>
        <v>357810</v>
      </c>
      <c r="C44" s="145">
        <f>C43+Monthly_Imports!J$16</f>
        <v>332652</v>
      </c>
      <c r="D44" s="145">
        <f>D43+Monthly_Imports!J$22</f>
        <v>298605</v>
      </c>
      <c r="E44" s="145">
        <f>E43+Monthly_Imports!J$28</f>
        <v>335994</v>
      </c>
      <c r="F44" s="146">
        <f>F43+Monthly_Imports!J34</f>
        <v>337931.9</v>
      </c>
      <c r="G44" s="146">
        <f>G43+Monthly_Imports!J40</f>
        <v>358937</v>
      </c>
      <c r="H44" s="146">
        <f>H43+Monthly_Imports!J46</f>
        <v>397265</v>
      </c>
      <c r="I44" s="146">
        <f>I43+Monthly_Imports!J52</f>
        <v>340182.9</v>
      </c>
      <c r="J44" s="146">
        <f>J43+Monthly_Imports!J58</f>
        <v>379478</v>
      </c>
      <c r="K44" s="147">
        <f>K43+Monthly_Imports!J64</f>
        <v>337393</v>
      </c>
      <c r="L44" s="147">
        <f>L43+Monthly_Imports!J70</f>
        <v>341607</v>
      </c>
    </row>
    <row r="45" spans="1:16">
      <c r="A45" s="144" t="s">
        <v>179</v>
      </c>
      <c r="B45" s="145">
        <f>B44+Monthly_Imports!K$10</f>
        <v>373882</v>
      </c>
      <c r="C45" s="145">
        <f>C44+Monthly_Imports!K$16</f>
        <v>343105</v>
      </c>
      <c r="D45" s="145">
        <f>D44+Monthly_Imports!K$22</f>
        <v>314252</v>
      </c>
      <c r="E45" s="145">
        <f>E44+Monthly_Imports!K28</f>
        <v>353302</v>
      </c>
      <c r="F45" s="146">
        <f>F44+Monthly_Imports!K34</f>
        <v>354992.9</v>
      </c>
      <c r="G45" s="146">
        <f>G44+Monthly_Imports!K40</f>
        <v>382981</v>
      </c>
      <c r="H45" s="146">
        <f>H44+Monthly_Imports!K46</f>
        <v>410943</v>
      </c>
      <c r="I45" s="146">
        <f>I44+Monthly_Imports!K52</f>
        <v>355092.9</v>
      </c>
      <c r="J45" s="146">
        <f>J44+Monthly_Imports!K58</f>
        <v>394780</v>
      </c>
      <c r="K45" s="147">
        <f>K44+Monthly_Imports!K64</f>
        <v>363284</v>
      </c>
      <c r="L45" s="147">
        <f>L44+Monthly_Imports!K70</f>
        <v>357152</v>
      </c>
    </row>
    <row r="46" spans="1:16">
      <c r="A46" s="144" t="s">
        <v>180</v>
      </c>
      <c r="B46" s="145">
        <f>B45+Monthly_Imports!L$10</f>
        <v>430383</v>
      </c>
      <c r="C46" s="145">
        <f>C45+Monthly_Imports!L$16</f>
        <v>378204</v>
      </c>
      <c r="D46" s="145">
        <f>D45+Monthly_Imports!L$22</f>
        <v>379931</v>
      </c>
      <c r="E46" s="145">
        <f>E45+Monthly_Imports!L28</f>
        <v>417084</v>
      </c>
      <c r="F46" s="146">
        <f>F45+Monthly_Imports!L34</f>
        <v>385877.9</v>
      </c>
      <c r="G46" s="146">
        <f>G45+Monthly_Imports!L40</f>
        <v>404975</v>
      </c>
      <c r="H46" s="146">
        <f>H45+Monthly_Imports!$L$46</f>
        <v>434432</v>
      </c>
      <c r="I46" s="146">
        <f>I45+Monthly_Imports!L52</f>
        <v>372032.9</v>
      </c>
      <c r="J46" s="146">
        <f>J45+Monthly_Imports!L58</f>
        <v>419961</v>
      </c>
      <c r="K46" s="147">
        <f>K45+Monthly_Imports!L64</f>
        <v>380607</v>
      </c>
      <c r="L46" s="147">
        <f>L45+Monthly_Imports!L70</f>
        <v>385275</v>
      </c>
    </row>
    <row r="47" spans="1:16">
      <c r="A47" s="144" t="s">
        <v>181</v>
      </c>
      <c r="B47" s="145">
        <f>B46+Monthly_Imports!M$10</f>
        <v>469063</v>
      </c>
      <c r="C47" s="145">
        <f>C46+Monthly_Imports!M$16</f>
        <v>413587</v>
      </c>
      <c r="D47" s="145">
        <f>D46+Monthly_Imports!M$22</f>
        <v>404692</v>
      </c>
      <c r="E47" s="145">
        <f>E46+Monthly_Imports!M28</f>
        <v>436535</v>
      </c>
      <c r="F47" s="146">
        <f>F46+Monthly_Imports!M34</f>
        <v>424723.9</v>
      </c>
      <c r="G47" s="146">
        <f>G46+Monthly_Imports!M40</f>
        <v>473066</v>
      </c>
      <c r="H47" s="146">
        <f>H46+Monthly_Imports!M46</f>
        <v>462852.7</v>
      </c>
      <c r="I47" s="146">
        <f>I46+Monthly_Imports!M52</f>
        <v>382672.9</v>
      </c>
      <c r="J47" s="146">
        <f>J46+Monthly_Imports!M58</f>
        <v>441347</v>
      </c>
      <c r="K47" s="147">
        <f>K46+Monthly_Imports!M64</f>
        <v>404163</v>
      </c>
      <c r="L47" s="147"/>
    </row>
    <row r="58" spans="1:16">
      <c r="P58" s="138" t="s">
        <v>155</v>
      </c>
    </row>
    <row r="60" spans="1:16">
      <c r="A60" s="140" t="s">
        <v>149</v>
      </c>
      <c r="B60" s="141" t="s">
        <v>118</v>
      </c>
      <c r="C60" s="141" t="s">
        <v>188</v>
      </c>
      <c r="D60" s="141" t="s">
        <v>131</v>
      </c>
      <c r="E60" s="141" t="s">
        <v>185</v>
      </c>
      <c r="F60" s="141" t="s">
        <v>117</v>
      </c>
      <c r="G60" s="141" t="s">
        <v>236</v>
      </c>
      <c r="H60" s="150" t="s">
        <v>75</v>
      </c>
      <c r="I60" s="150" t="s">
        <v>81</v>
      </c>
      <c r="J60" s="150" t="s">
        <v>226</v>
      </c>
      <c r="K60" s="151" t="s">
        <v>313</v>
      </c>
      <c r="L60" s="151" t="s">
        <v>323</v>
      </c>
    </row>
    <row r="61" spans="1:16">
      <c r="A61" s="144" t="s">
        <v>182</v>
      </c>
      <c r="B61" s="145">
        <f>Monthly_Imports!B11</f>
        <v>71878</v>
      </c>
      <c r="C61" s="145">
        <f>Monthly_Imports!B17</f>
        <v>76372</v>
      </c>
      <c r="D61" s="145">
        <f>Monthly_Imports!B23</f>
        <v>46655</v>
      </c>
      <c r="E61" s="145">
        <f>Monthly_Imports!B29</f>
        <v>91573</v>
      </c>
      <c r="F61" s="146">
        <f>Monthly_Imports!$B$35</f>
        <v>82424</v>
      </c>
      <c r="G61" s="146">
        <f>Monthly_Imports!$B$41</f>
        <v>79017</v>
      </c>
      <c r="H61" s="152">
        <f>Monthly_Imports!B47</f>
        <v>82043</v>
      </c>
      <c r="I61" s="152">
        <f>Monthly_Imports!B53</f>
        <v>57028</v>
      </c>
      <c r="J61" s="152">
        <f>Monthly_Imports!B59</f>
        <v>58322</v>
      </c>
      <c r="K61" s="153">
        <f>Monthly_Imports!B65</f>
        <v>55742</v>
      </c>
      <c r="L61" s="153">
        <f>Monthly_Imports!B71</f>
        <v>59087</v>
      </c>
    </row>
    <row r="62" spans="1:16">
      <c r="A62" s="144" t="s">
        <v>108</v>
      </c>
      <c r="B62" s="145">
        <f>B61+Monthly_Imports!C$11</f>
        <v>141008</v>
      </c>
      <c r="C62" s="145">
        <f>C61+Monthly_Imports!C17</f>
        <v>172490</v>
      </c>
      <c r="D62" s="145">
        <f>D61+Monthly_Imports!C23</f>
        <v>139376</v>
      </c>
      <c r="E62" s="145">
        <f>E61+Monthly_Imports!C$29</f>
        <v>185735</v>
      </c>
      <c r="F62" s="146">
        <f>F61+Monthly_Imports!$C$35</f>
        <v>165318</v>
      </c>
      <c r="G62" s="146">
        <f>G61+Monthly_Imports!C41</f>
        <v>173975</v>
      </c>
      <c r="H62" s="152">
        <f>H61+Monthly_Imports!C47</f>
        <v>183660</v>
      </c>
      <c r="I62" s="152">
        <f>I61+Monthly_Imports!C53</f>
        <v>158055</v>
      </c>
      <c r="J62" s="152">
        <f>J61+Monthly_Imports!C59</f>
        <v>128678</v>
      </c>
      <c r="K62" s="153">
        <f>K61+Monthly_Imports!C65</f>
        <v>137196</v>
      </c>
      <c r="L62" s="153">
        <f>L61+Monthly_Imports!C71</f>
        <v>139772</v>
      </c>
    </row>
    <row r="63" spans="1:16">
      <c r="A63" s="144" t="s">
        <v>109</v>
      </c>
      <c r="B63" s="145">
        <f>B62+Monthly_Imports!D$11</f>
        <v>231404</v>
      </c>
      <c r="C63" s="145">
        <f>C62+Monthly_Imports!D17</f>
        <v>300338</v>
      </c>
      <c r="D63" s="145">
        <f>D62+Monthly_Imports!D$23</f>
        <v>244516</v>
      </c>
      <c r="E63" s="145">
        <f>E62+Monthly_Imports!D$29</f>
        <v>302186</v>
      </c>
      <c r="F63" s="146">
        <f>F62+Monthly_Imports!$D$35</f>
        <v>264807</v>
      </c>
      <c r="G63" s="146">
        <f>G62+Monthly_Imports!D41</f>
        <v>289046</v>
      </c>
      <c r="H63" s="152">
        <f>H62+Monthly_Imports!D47</f>
        <v>302352</v>
      </c>
      <c r="I63" s="152">
        <f>I62+Monthly_Imports!$D$53</f>
        <v>246032</v>
      </c>
      <c r="J63" s="152">
        <f>J62+Monthly_Imports!D59</f>
        <v>221263</v>
      </c>
      <c r="K63" s="153">
        <f>K62+Monthly_Imports!D65</f>
        <v>227645</v>
      </c>
      <c r="L63" s="153">
        <f>L62+Monthly_Imports!D71</f>
        <v>233864</v>
      </c>
    </row>
    <row r="64" spans="1:16">
      <c r="A64" s="144" t="s">
        <v>110</v>
      </c>
      <c r="B64" s="145">
        <f>B63+Monthly_Imports!E$11</f>
        <v>356337</v>
      </c>
      <c r="C64" s="145">
        <f>C63+Monthly_Imports!E17</f>
        <v>406434</v>
      </c>
      <c r="D64" s="145">
        <f>D63+Monthly_Imports!E$23</f>
        <v>339566</v>
      </c>
      <c r="E64" s="145">
        <f>E63+Monthly_Imports!E$29</f>
        <v>438349</v>
      </c>
      <c r="F64" s="146">
        <f>F63+Monthly_Imports!E35</f>
        <v>363542</v>
      </c>
      <c r="G64" s="146">
        <f>G63+Monthly_Imports!$E$41</f>
        <v>438543</v>
      </c>
      <c r="H64" s="152">
        <f>H63+Monthly_Imports!E47</f>
        <v>426337</v>
      </c>
      <c r="I64" s="152">
        <f>I63+Monthly_Imports!E53</f>
        <v>347208</v>
      </c>
      <c r="J64" s="152">
        <f>J63+Monthly_Imports!E59</f>
        <v>341545</v>
      </c>
      <c r="K64" s="153">
        <f>K63+Monthly_Imports!E65</f>
        <v>328807</v>
      </c>
      <c r="L64" s="153">
        <f>L63+Monthly_Imports!E71</f>
        <v>353402</v>
      </c>
    </row>
    <row r="65" spans="1:12">
      <c r="A65" s="144" t="s">
        <v>111</v>
      </c>
      <c r="B65" s="145">
        <f>B64+Monthly_Imports!F$11</f>
        <v>469728</v>
      </c>
      <c r="C65" s="145">
        <f>C64+Monthly_Imports!F17</f>
        <v>522476</v>
      </c>
      <c r="D65" s="145">
        <f>D64+Monthly_Imports!F$23</f>
        <v>444043</v>
      </c>
      <c r="E65" s="145">
        <f>E64+Monthly_Imports!F$29</f>
        <v>557081</v>
      </c>
      <c r="F65" s="146">
        <f>F64+Monthly_Imports!F35</f>
        <v>511243</v>
      </c>
      <c r="G65" s="146">
        <f>G64+Monthly_Imports!$F$41</f>
        <v>566070</v>
      </c>
      <c r="H65" s="152">
        <f>H64+Monthly_Imports!F47</f>
        <v>527560</v>
      </c>
      <c r="I65" s="152">
        <f>I64+Monthly_Imports!F53</f>
        <v>462958</v>
      </c>
      <c r="J65" s="152">
        <f>J64+Monthly_Imports!F59</f>
        <v>465181</v>
      </c>
      <c r="K65" s="153">
        <f>K64+Monthly_Imports!F65</f>
        <v>417599</v>
      </c>
      <c r="L65" s="153">
        <f>L64+Monthly_Imports!F71</f>
        <v>440117</v>
      </c>
    </row>
    <row r="66" spans="1:12">
      <c r="A66" s="144" t="s">
        <v>18</v>
      </c>
      <c r="B66" s="145">
        <f>B65+Monthly_Imports!G$11</f>
        <v>519451</v>
      </c>
      <c r="C66" s="145">
        <f>C65+Monthly_Imports!G17</f>
        <v>590237</v>
      </c>
      <c r="D66" s="145">
        <f>D65+Monthly_Imports!G$23</f>
        <v>507505</v>
      </c>
      <c r="E66" s="145">
        <f>E65+Monthly_Imports!G$29</f>
        <v>658028</v>
      </c>
      <c r="F66" s="146">
        <f>F65+Monthly_Imports!G35</f>
        <v>593662</v>
      </c>
      <c r="G66" s="146">
        <f>G65+Monthly_Imports!G41</f>
        <v>653678</v>
      </c>
      <c r="H66" s="152">
        <f>H65+Monthly_Imports!G47</f>
        <v>585105</v>
      </c>
      <c r="I66" s="152">
        <f>I65+Monthly_Imports!G53</f>
        <v>530264</v>
      </c>
      <c r="J66" s="152">
        <f>J65+Monthly_Imports!G59</f>
        <v>540848</v>
      </c>
      <c r="K66" s="153">
        <f>K65+Monthly_Imports!G65</f>
        <v>473883</v>
      </c>
      <c r="L66" s="153">
        <f>L65+Monthly_Imports!G71</f>
        <v>501756</v>
      </c>
    </row>
    <row r="67" spans="1:12">
      <c r="A67" s="144" t="s">
        <v>249</v>
      </c>
      <c r="B67" s="145">
        <f>B66+Monthly_Imports!H$11</f>
        <v>563773</v>
      </c>
      <c r="C67" s="145">
        <f>C66+Monthly_Imports!H$17</f>
        <v>625366</v>
      </c>
      <c r="D67" s="145">
        <f>D66+Monthly_Imports!H$23</f>
        <v>554287</v>
      </c>
      <c r="E67" s="145">
        <f>E66+Monthly_Imports!H$29</f>
        <v>714506</v>
      </c>
      <c r="F67" s="146">
        <f>F66+Monthly_Imports!H35</f>
        <v>652225</v>
      </c>
      <c r="G67" s="146">
        <f>G66+Monthly_Imports!H41</f>
        <v>704235</v>
      </c>
      <c r="H67" s="152">
        <f>H66+Monthly_Imports!H47</f>
        <v>620533</v>
      </c>
      <c r="I67" s="152">
        <f>I66+Monthly_Imports!H53</f>
        <v>588142</v>
      </c>
      <c r="J67" s="152">
        <f>J66+Monthly_Imports!H59</f>
        <v>602659</v>
      </c>
      <c r="K67" s="153">
        <f>K66+Monthly_Imports!H65</f>
        <v>523698</v>
      </c>
      <c r="L67" s="153">
        <f>L66+Monthly_Imports!H71</f>
        <v>553230</v>
      </c>
    </row>
    <row r="68" spans="1:12">
      <c r="A68" s="144" t="s">
        <v>177</v>
      </c>
      <c r="B68" s="145">
        <f>B67+Monthly_Imports!I$11</f>
        <v>609799</v>
      </c>
      <c r="C68" s="145">
        <f>C67+Monthly_Imports!I$17</f>
        <v>670487</v>
      </c>
      <c r="D68" s="145">
        <f>D67+Monthly_Imports!I$23</f>
        <v>587950</v>
      </c>
      <c r="E68" s="145">
        <f>E67+Monthly_Imports!I$29</f>
        <v>759936</v>
      </c>
      <c r="F68" s="146">
        <f>F67+Monthly_Imports!$I$35</f>
        <v>694862</v>
      </c>
      <c r="G68" s="146">
        <f>G67+Monthly_Imports!I41</f>
        <v>752750</v>
      </c>
      <c r="H68" s="152">
        <f>H67+Monthly_Imports!I47</f>
        <v>670933</v>
      </c>
      <c r="I68" s="152">
        <f>I67+Monthly_Imports!I53</f>
        <v>636706</v>
      </c>
      <c r="J68" s="152">
        <f>J67+Monthly_Imports!I59</f>
        <v>650960</v>
      </c>
      <c r="K68" s="153">
        <f>K67+Monthly_Imports!I65</f>
        <v>574930</v>
      </c>
      <c r="L68" s="153">
        <f>L67+Monthly_Imports!I71</f>
        <v>584720</v>
      </c>
    </row>
    <row r="69" spans="1:12">
      <c r="A69" s="144" t="s">
        <v>178</v>
      </c>
      <c r="B69" s="145">
        <f>B68+Monthly_Imports!J$11</f>
        <v>634342</v>
      </c>
      <c r="C69" s="145">
        <f>C68+Monthly_Imports!J$17</f>
        <v>703610</v>
      </c>
      <c r="D69" s="145">
        <f>D68+Monthly_Imports!J$23</f>
        <v>620269</v>
      </c>
      <c r="E69" s="145">
        <f>E68+Monthly_Imports!J$29</f>
        <v>789645</v>
      </c>
      <c r="F69" s="146">
        <f>F68+Monthly_Imports!J35</f>
        <v>730048</v>
      </c>
      <c r="G69" s="146">
        <f>G68+Monthly_Imports!J41</f>
        <v>781622</v>
      </c>
      <c r="H69" s="152">
        <f>H68+Monthly_Imports!J47</f>
        <v>697768</v>
      </c>
      <c r="I69" s="152">
        <f>I68+Monthly_Imports!J53</f>
        <v>675605</v>
      </c>
      <c r="J69" s="152">
        <f>J68+Monthly_Imports!J59</f>
        <v>706000</v>
      </c>
      <c r="K69" s="153">
        <f>K68+Monthly_Imports!J65</f>
        <v>603665</v>
      </c>
      <c r="L69" s="153">
        <f>L68+Monthly_Imports!J71</f>
        <v>609792</v>
      </c>
    </row>
    <row r="70" spans="1:12">
      <c r="A70" s="144" t="s">
        <v>179</v>
      </c>
      <c r="B70" s="145">
        <f>B69+Monthly_Imports!K$11</f>
        <v>662665</v>
      </c>
      <c r="C70" s="145">
        <f>C69+Monthly_Imports!K$17</f>
        <v>731221</v>
      </c>
      <c r="D70" s="145">
        <f>D69+Monthly_Imports!K$23</f>
        <v>658805</v>
      </c>
      <c r="E70" s="145">
        <f>E69+Monthly_Imports!K29</f>
        <v>827515</v>
      </c>
      <c r="F70" s="146">
        <f>F69+Monthly_Imports!K35</f>
        <v>761803</v>
      </c>
      <c r="G70" s="146">
        <f>G69+Monthly_Imports!K41</f>
        <v>834015</v>
      </c>
      <c r="H70" s="152">
        <f>H69+Monthly_Imports!K47</f>
        <v>720323</v>
      </c>
      <c r="I70" s="152">
        <f>I69+Monthly_Imports!K53</f>
        <v>708921</v>
      </c>
      <c r="J70" s="152">
        <f>J69+Monthly_Imports!K59</f>
        <v>738073</v>
      </c>
      <c r="K70" s="153">
        <f>K69+Monthly_Imports!K65</f>
        <v>636786</v>
      </c>
      <c r="L70" s="153">
        <f>L69+Monthly_Imports!K71</f>
        <v>632614</v>
      </c>
    </row>
    <row r="71" spans="1:12">
      <c r="A71" s="144" t="s">
        <v>180</v>
      </c>
      <c r="B71" s="145">
        <f>B70+Monthly_Imports!L$11</f>
        <v>720227</v>
      </c>
      <c r="C71" s="145">
        <f>C70+Monthly_Imports!L$17</f>
        <v>758176</v>
      </c>
      <c r="D71" s="145">
        <f>D70+Monthly_Imports!L$23</f>
        <v>700327</v>
      </c>
      <c r="E71" s="145">
        <f>E70+Monthly_Imports!L29</f>
        <v>912239</v>
      </c>
      <c r="F71" s="146">
        <f>F70+Monthly_Imports!L35</f>
        <v>827212</v>
      </c>
      <c r="G71" s="146">
        <f>G70+Monthly_Imports!L41</f>
        <v>887678</v>
      </c>
      <c r="H71" s="152">
        <f>H70+Monthly_Imports!$L$47</f>
        <v>773120</v>
      </c>
      <c r="I71" s="152">
        <f>I70+Monthly_Imports!L53</f>
        <v>763437</v>
      </c>
      <c r="J71" s="152">
        <f>J70+Monthly_Imports!L59</f>
        <v>785150</v>
      </c>
      <c r="K71" s="153">
        <f>K70+Monthly_Imports!L65</f>
        <v>683681</v>
      </c>
      <c r="L71" s="153">
        <f>L70+Monthly_Imports!L71</f>
        <v>686158</v>
      </c>
    </row>
    <row r="72" spans="1:12">
      <c r="A72" s="144" t="s">
        <v>181</v>
      </c>
      <c r="B72" s="145">
        <f>B71+Monthly_Imports!M$11</f>
        <v>775335</v>
      </c>
      <c r="C72" s="145">
        <f>C71+Monthly_Imports!M$17</f>
        <v>804499</v>
      </c>
      <c r="D72" s="145">
        <f>D71+Monthly_Imports!M$23</f>
        <v>762020</v>
      </c>
      <c r="E72" s="145">
        <f>E71+Monthly_Imports!M29</f>
        <v>979878</v>
      </c>
      <c r="F72" s="146">
        <f>F71+Monthly_Imports!M35</f>
        <v>884285</v>
      </c>
      <c r="G72" s="146">
        <f>G71+Monthly_Imports!M41</f>
        <v>946759</v>
      </c>
      <c r="H72" s="152">
        <f>H71+Monthly_Imports!M47</f>
        <v>819224</v>
      </c>
      <c r="I72" s="152">
        <f>I71+Monthly_Imports!M53</f>
        <v>795111</v>
      </c>
      <c r="J72" s="152">
        <f>J71+Monthly_Imports!M59</f>
        <v>837366</v>
      </c>
      <c r="K72" s="153">
        <f>K71+Monthly_Imports!M65</f>
        <v>728062</v>
      </c>
      <c r="L72" s="153"/>
    </row>
  </sheetData>
  <mergeCells count="1">
    <mergeCell ref="A1:XFD8"/>
  </mergeCells>
  <phoneticPr fontId="3" type="noConversion"/>
  <pageMargins left="0.7" right="0.7" top="0.75" bottom="0.75" header="0.3" footer="0.3"/>
  <pageSetup paperSize="10" orientation="portrait" horizontalDpi="4294967292" verticalDpi="4294967292"/>
  <ignoredErrors>
    <ignoredError sqref="E35" twoDigitTextYear="1"/>
  </ignoredError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"/>
  <sheetViews>
    <sheetView workbookViewId="0"/>
  </sheetViews>
  <sheetFormatPr defaultColWidth="11.140625"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C40"/>
  <sheetViews>
    <sheetView topLeftCell="A13" workbookViewId="0">
      <selection activeCell="D34" sqref="D34"/>
    </sheetView>
  </sheetViews>
  <sheetFormatPr defaultColWidth="11.140625" defaultRowHeight="12"/>
  <cols>
    <col min="1" max="16384" width="11.140625" style="139"/>
  </cols>
  <sheetData>
    <row r="1" spans="2:3" s="362" customFormat="1" ht="12.75"/>
    <row r="2" spans="2:3" s="362" customFormat="1" ht="12.75"/>
    <row r="3" spans="2:3" s="362" customFormat="1" ht="12.75"/>
    <row r="4" spans="2:3" s="362" customFormat="1" ht="12.75"/>
    <row r="5" spans="2:3" s="362" customFormat="1" ht="12.75"/>
    <row r="6" spans="2:3" s="362" customFormat="1" ht="12.75"/>
    <row r="7" spans="2:3" s="362" customFormat="1" ht="12.75"/>
    <row r="8" spans="2:3" s="362" customFormat="1" ht="18.95" customHeight="1"/>
    <row r="11" spans="2:3">
      <c r="B11" s="187" t="s">
        <v>230</v>
      </c>
      <c r="C11" s="187" t="s">
        <v>231</v>
      </c>
    </row>
    <row r="12" spans="2:3">
      <c r="B12" s="139" t="s">
        <v>305</v>
      </c>
      <c r="C12" s="188">
        <f>'Calendar Yr import'!E41+'Calendar Yr import'!F41+'Calendar Yr import'!C42+'Calendar Yr import'!D42</f>
        <v>717121.9</v>
      </c>
    </row>
    <row r="13" spans="2:3">
      <c r="B13" s="189" t="s">
        <v>288</v>
      </c>
      <c r="C13" s="188">
        <f>'Calendar Yr import'!E42+'Calendar Yr import'!F42+'Calendar Yr import'!C43+'Calendar Yr import'!D43</f>
        <v>842921.1</v>
      </c>
    </row>
    <row r="14" spans="2:3">
      <c r="B14" s="189" t="s">
        <v>289</v>
      </c>
      <c r="C14" s="188">
        <f>'Calendar Yr import'!E43+'Calendar Yr import'!F43+'Calendar Yr import'!C44+'Calendar Yr import'!D44</f>
        <v>892619.9</v>
      </c>
    </row>
    <row r="15" spans="2:3">
      <c r="B15" s="189" t="s">
        <v>290</v>
      </c>
      <c r="C15" s="188">
        <f>'Calendar Yr import'!E44+'Calendar Yr import'!F44+'Calendar Yr import'!C45+'Calendar Yr import'!D45</f>
        <v>848338.3</v>
      </c>
    </row>
    <row r="16" spans="2:3">
      <c r="B16" s="189" t="s">
        <v>291</v>
      </c>
      <c r="C16" s="188">
        <f>'Calendar Yr import'!E45+'Calendar Yr import'!F45+'Calendar Yr import'!C46+'Calendar Yr import'!D46</f>
        <v>1128274.3</v>
      </c>
    </row>
    <row r="17" spans="2:3">
      <c r="B17" s="189" t="s">
        <v>292</v>
      </c>
      <c r="C17" s="188">
        <f>'Calendar Yr import'!E46+'Calendar Yr import'!F46+'Calendar Yr import'!C47+'Calendar Yr import'!D47</f>
        <v>1062509.8</v>
      </c>
    </row>
    <row r="18" spans="2:3">
      <c r="B18" s="189" t="s">
        <v>293</v>
      </c>
      <c r="C18" s="188">
        <f>'Calendar Yr import'!E47+'Calendar Yr import'!F47+'Calendar Yr import'!C48+'Calendar Yr import'!D48</f>
        <v>1208739</v>
      </c>
    </row>
    <row r="19" spans="2:3">
      <c r="B19" s="189" t="s">
        <v>294</v>
      </c>
      <c r="C19" s="188">
        <f>'Calendar Yr import'!E48+'Calendar Yr import'!F48+'Calendar Yr import'!C49+'Calendar Yr import'!D49</f>
        <v>1288816</v>
      </c>
    </row>
    <row r="20" spans="2:3">
      <c r="B20" s="189" t="s">
        <v>295</v>
      </c>
      <c r="C20" s="188">
        <f>'Calendar Yr import'!E49+'Calendar Yr import'!F49+'Calendar Yr import'!C50+'Calendar Yr import'!D50</f>
        <v>1291450.8160000001</v>
      </c>
    </row>
    <row r="21" spans="2:3">
      <c r="B21" s="189" t="s">
        <v>296</v>
      </c>
      <c r="C21" s="188">
        <f>'Calendar Yr import'!E50+'Calendar Yr import'!F50+'Calendar Yr import'!C51+'Calendar Yr import'!D51</f>
        <v>1334382</v>
      </c>
    </row>
    <row r="22" spans="2:3">
      <c r="B22" s="189" t="s">
        <v>297</v>
      </c>
      <c r="C22" s="188">
        <f>'Calendar Yr import'!E51+'Calendar Yr import'!F51+'Calendar Yr import'!C52+'Calendar Yr import'!D52</f>
        <v>1154345</v>
      </c>
    </row>
    <row r="23" spans="2:3">
      <c r="B23" s="189" t="s">
        <v>298</v>
      </c>
      <c r="C23" s="188">
        <f>'Calendar Yr import'!E52+'Calendar Yr import'!F52+'Calendar Yr import'!C53+'Calendar Yr import'!D53</f>
        <v>1244398</v>
      </c>
    </row>
    <row r="24" spans="2:3">
      <c r="B24" s="189" t="s">
        <v>299</v>
      </c>
      <c r="C24" s="188">
        <f>'Calendar Yr import'!E53+'Calendar Yr import'!F53+'Calendar Yr import'!C54+'Calendar Yr import'!D54</f>
        <v>1218086</v>
      </c>
    </row>
    <row r="25" spans="2:3">
      <c r="B25" s="189" t="s">
        <v>300</v>
      </c>
      <c r="C25" s="188">
        <f>'Calendar Yr import'!E54+'Calendar Yr import'!F54+'Calendar Yr import'!C55+'Calendar Yr import'!D55</f>
        <v>1166712</v>
      </c>
    </row>
    <row r="26" spans="2:3">
      <c r="B26" s="189" t="s">
        <v>301</v>
      </c>
      <c r="C26" s="188">
        <f>'Calendar Yr import'!E55+'Calendar Yr import'!F55+'Calendar Yr import'!C56+'Calendar Yr import'!D56</f>
        <v>1416413</v>
      </c>
    </row>
    <row r="27" spans="2:3">
      <c r="B27" s="189" t="s">
        <v>284</v>
      </c>
      <c r="C27" s="188">
        <f>'Calendar Yr import'!E56+'Calendar Yr import'!F56+'Calendar Yr import'!C57+'Calendar Yr import'!D57</f>
        <v>1309008.8999999999</v>
      </c>
    </row>
    <row r="28" spans="2:3">
      <c r="B28" s="189" t="s">
        <v>302</v>
      </c>
      <c r="C28" s="188">
        <f>'Calendar Yr import'!E57+'Calendar Yr import'!F57+'Calendar Yr import'!C58+'Calendar Yr import'!D58</f>
        <v>1419825</v>
      </c>
    </row>
    <row r="29" spans="2:3">
      <c r="B29" s="189" t="s">
        <v>303</v>
      </c>
      <c r="C29" s="188">
        <f>'Calendar Yr import'!E58+'Calendar Yr import'!F58+'Calendar Yr import'!C59+'Calendar Yr import'!D59</f>
        <v>1282076.7</v>
      </c>
    </row>
    <row r="30" spans="2:3">
      <c r="B30" s="189" t="s">
        <v>304</v>
      </c>
      <c r="C30" s="188">
        <f>'Calendar Yr import'!E59+'Calendar Yr import'!F59+'Calendar Yr import'!C60+'Calendar Yr import'!D60</f>
        <v>1177783.8999999999</v>
      </c>
    </row>
    <row r="31" spans="2:3">
      <c r="B31" s="190" t="s">
        <v>311</v>
      </c>
      <c r="C31" s="191">
        <f>'Financial Yr cumulative imports'!J23</f>
        <v>1278713</v>
      </c>
    </row>
    <row r="32" spans="2:3">
      <c r="B32" s="190" t="s">
        <v>315</v>
      </c>
      <c r="C32" s="191">
        <f>'Financial Yr cumulative imports'!K23</f>
        <v>1132225</v>
      </c>
    </row>
    <row r="33" spans="3:3">
      <c r="C33" s="192"/>
    </row>
    <row r="34" spans="3:3">
      <c r="C34" s="192"/>
    </row>
    <row r="35" spans="3:3">
      <c r="C35" s="192"/>
    </row>
    <row r="36" spans="3:3">
      <c r="C36" s="192"/>
    </row>
    <row r="37" spans="3:3">
      <c r="C37" s="192"/>
    </row>
    <row r="38" spans="3:3">
      <c r="C38" s="192"/>
    </row>
    <row r="39" spans="3:3">
      <c r="C39" s="192"/>
    </row>
    <row r="40" spans="3:3">
      <c r="C40" s="192"/>
    </row>
  </sheetData>
  <mergeCells count="1">
    <mergeCell ref="A1:XFD8"/>
  </mergeCells>
  <phoneticPr fontId="3" type="noConversion"/>
  <pageMargins left="0.7" right="0.7" top="0.75" bottom="0.75" header="0.5" footer="0.5"/>
  <pageSetup paperSize="9" orientation="portrait" horizontalDpi="4294967292" verticalDpi="429496729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67"/>
  <sheetViews>
    <sheetView topLeftCell="B35" workbookViewId="0">
      <selection activeCell="D35" sqref="D35"/>
    </sheetView>
  </sheetViews>
  <sheetFormatPr defaultColWidth="8.85546875" defaultRowHeight="12"/>
  <cols>
    <col min="1" max="1" width="8.85546875" style="199"/>
    <col min="2" max="2" width="8.85546875" style="200" customWidth="1"/>
    <col min="3" max="3" width="15.85546875" style="199" customWidth="1"/>
    <col min="4" max="4" width="12.7109375" style="199" customWidth="1"/>
    <col min="5" max="5" width="9.42578125" style="199" customWidth="1"/>
    <col min="6" max="6" width="10.28515625" style="199" customWidth="1"/>
    <col min="7" max="7" width="12.85546875" style="199" customWidth="1"/>
    <col min="8" max="16384" width="8.85546875" style="199"/>
  </cols>
  <sheetData>
    <row r="1" spans="1:8" s="162" customFormat="1">
      <c r="B1" s="193"/>
    </row>
    <row r="2" spans="1:8" s="162" customFormat="1" ht="15" customHeight="1">
      <c r="H2" s="194"/>
    </row>
    <row r="3" spans="1:8" s="162" customFormat="1" ht="15.75" customHeight="1">
      <c r="B3" s="195"/>
      <c r="C3" s="195"/>
      <c r="D3" s="195"/>
      <c r="E3" s="195"/>
      <c r="F3" s="195"/>
      <c r="G3" s="195"/>
      <c r="H3" s="194"/>
    </row>
    <row r="4" spans="1:8" s="162" customFormat="1" ht="21.75" customHeight="1">
      <c r="A4" s="364" t="s">
        <v>232</v>
      </c>
      <c r="B4" s="364"/>
      <c r="C4" s="364"/>
      <c r="D4" s="364"/>
      <c r="E4" s="364"/>
      <c r="F4" s="364"/>
      <c r="G4" s="364"/>
      <c r="H4" s="194"/>
    </row>
    <row r="5" spans="1:8" s="162" customFormat="1" ht="13.5" customHeight="1">
      <c r="B5" s="195"/>
      <c r="C5" s="195"/>
      <c r="D5" s="195"/>
      <c r="E5" s="195"/>
      <c r="F5" s="195"/>
      <c r="G5" s="195"/>
      <c r="H5" s="194"/>
    </row>
    <row r="6" spans="1:8" s="162" customFormat="1" ht="13.5" customHeight="1">
      <c r="B6" s="195"/>
      <c r="C6" s="195"/>
      <c r="D6" s="195"/>
      <c r="E6" s="195"/>
      <c r="F6" s="195"/>
      <c r="G6" s="195"/>
      <c r="H6" s="194"/>
    </row>
    <row r="7" spans="1:8" s="162" customFormat="1">
      <c r="B7" s="193"/>
    </row>
    <row r="8" spans="1:8" s="162" customFormat="1">
      <c r="B8" s="193"/>
    </row>
    <row r="9" spans="1:8" s="196" customFormat="1" ht="15.75" customHeight="1">
      <c r="B9" s="363" t="s">
        <v>126</v>
      </c>
      <c r="C9" s="363"/>
      <c r="D9" s="363"/>
      <c r="E9" s="363"/>
      <c r="F9" s="363"/>
    </row>
    <row r="10" spans="1:8" s="197" customFormat="1">
      <c r="C10" s="198" t="s">
        <v>99</v>
      </c>
      <c r="D10" s="198" t="s">
        <v>100</v>
      </c>
    </row>
    <row r="11" spans="1:8">
      <c r="B11" s="199"/>
      <c r="C11" s="200" t="s">
        <v>101</v>
      </c>
      <c r="D11" s="201">
        <v>754000</v>
      </c>
    </row>
    <row r="12" spans="1:8">
      <c r="B12" s="199"/>
      <c r="C12" s="200" t="s">
        <v>102</v>
      </c>
      <c r="D12" s="201">
        <v>797000</v>
      </c>
    </row>
    <row r="13" spans="1:8">
      <c r="B13" s="199"/>
      <c r="C13" s="200" t="s">
        <v>96</v>
      </c>
      <c r="D13" s="201">
        <v>741000</v>
      </c>
    </row>
    <row r="14" spans="1:8">
      <c r="B14" s="199"/>
      <c r="C14" s="200" t="s">
        <v>97</v>
      </c>
      <c r="D14" s="201">
        <v>745000</v>
      </c>
    </row>
    <row r="15" spans="1:8">
      <c r="B15" s="199"/>
      <c r="C15" s="200" t="s">
        <v>98</v>
      </c>
      <c r="D15" s="201">
        <v>842000</v>
      </c>
    </row>
    <row r="16" spans="1:8">
      <c r="B16" s="199"/>
      <c r="C16" s="200" t="s">
        <v>85</v>
      </c>
      <c r="D16" s="201">
        <v>892000</v>
      </c>
    </row>
    <row r="17" spans="2:4">
      <c r="B17" s="199"/>
      <c r="C17" s="202" t="s">
        <v>86</v>
      </c>
      <c r="D17" s="201">
        <v>848000</v>
      </c>
    </row>
    <row r="18" spans="2:4">
      <c r="B18" s="199"/>
      <c r="C18" s="203" t="s">
        <v>212</v>
      </c>
      <c r="D18" s="201">
        <v>1128000</v>
      </c>
    </row>
    <row r="19" spans="2:4">
      <c r="B19" s="199"/>
      <c r="C19" s="200" t="s">
        <v>214</v>
      </c>
      <c r="D19" s="201">
        <v>1062000</v>
      </c>
    </row>
    <row r="20" spans="2:4">
      <c r="B20" s="199"/>
      <c r="C20" s="200" t="s">
        <v>215</v>
      </c>
      <c r="D20" s="201">
        <v>1209000</v>
      </c>
    </row>
    <row r="21" spans="2:4">
      <c r="B21" s="199"/>
      <c r="C21" s="200" t="s">
        <v>216</v>
      </c>
      <c r="D21" s="201">
        <v>1289000</v>
      </c>
    </row>
    <row r="22" spans="2:4">
      <c r="B22" s="199"/>
      <c r="C22" s="204" t="s">
        <v>16</v>
      </c>
      <c r="D22" s="201">
        <v>1291451</v>
      </c>
    </row>
    <row r="23" spans="2:4">
      <c r="B23" s="199"/>
      <c r="C23" s="205" t="s">
        <v>90</v>
      </c>
      <c r="D23" s="201">
        <v>1334442</v>
      </c>
    </row>
    <row r="24" spans="2:4">
      <c r="B24" s="199"/>
      <c r="C24" s="204" t="s">
        <v>79</v>
      </c>
      <c r="D24" s="170">
        <f>Quarterly_Adjusted_Figures!AV17</f>
        <v>1154345</v>
      </c>
    </row>
    <row r="25" spans="2:4">
      <c r="B25" s="199"/>
      <c r="C25" s="204" t="s">
        <v>91</v>
      </c>
      <c r="D25" s="170">
        <f>Quarterly_Adjusted_Figures!$AZ$18</f>
        <v>1244398</v>
      </c>
    </row>
    <row r="26" spans="2:4">
      <c r="B26" s="199"/>
      <c r="C26" s="204" t="s">
        <v>237</v>
      </c>
      <c r="D26" s="170">
        <f>Quarterly_Adjusted_Figures!BD17</f>
        <v>1218086</v>
      </c>
    </row>
    <row r="27" spans="2:4">
      <c r="B27" s="199"/>
      <c r="C27" s="204" t="s">
        <v>243</v>
      </c>
      <c r="D27" s="170">
        <f>Quarterly_Adjusted_Figures!BH18</f>
        <v>1166712</v>
      </c>
    </row>
    <row r="28" spans="2:4">
      <c r="B28" s="199"/>
      <c r="C28" s="204" t="s">
        <v>140</v>
      </c>
      <c r="D28" s="170">
        <f>Monthly_Imports!B31+Monthly_Imports!C31+Monthly_Imports!D31+Monthly_Imports!E31+Monthly_Imports!F31+Monthly_Imports!G31+Monthly_Imports!H31+Monthly_Imports!I31+Monthly_Imports!J31+Monthly_Imports!K31+Monthly_Imports!L31+Monthly_Imports!M31</f>
        <v>1416413</v>
      </c>
    </row>
    <row r="29" spans="2:4">
      <c r="B29" s="199"/>
      <c r="C29" s="204" t="s">
        <v>270</v>
      </c>
      <c r="D29" s="170">
        <f>SUM(Monthly_Imports!B37:M37)</f>
        <v>1309008.8999999999</v>
      </c>
    </row>
    <row r="30" spans="2:4">
      <c r="B30" s="199"/>
      <c r="C30" s="204" t="s">
        <v>1</v>
      </c>
      <c r="D30" s="170">
        <f>SUM(Monthly_Imports!B43:M43)</f>
        <v>1419825</v>
      </c>
    </row>
    <row r="31" spans="2:4">
      <c r="B31" s="199"/>
      <c r="C31" s="204" t="s">
        <v>24</v>
      </c>
      <c r="D31" s="170">
        <f>'Financial Yr cumulative imports'!H23</f>
        <v>1282076.7</v>
      </c>
    </row>
    <row r="32" spans="2:4">
      <c r="B32" s="199"/>
      <c r="C32" s="204" t="s">
        <v>306</v>
      </c>
      <c r="D32" s="170">
        <v>1177784</v>
      </c>
    </row>
    <row r="33" spans="2:7">
      <c r="B33" s="199"/>
      <c r="C33" s="204" t="s">
        <v>330</v>
      </c>
      <c r="D33" s="170">
        <f>Monthly_Imports!N61</f>
        <v>1278713</v>
      </c>
    </row>
    <row r="34" spans="2:7">
      <c r="B34" s="199"/>
      <c r="C34" s="204" t="s">
        <v>313</v>
      </c>
      <c r="D34" s="170">
        <f>Monthly_Imports!N67</f>
        <v>1132225</v>
      </c>
    </row>
    <row r="35" spans="2:7">
      <c r="C35" s="200"/>
      <c r="D35" s="206">
        <f>SUM(D11:D31)</f>
        <v>23143757.599999998</v>
      </c>
    </row>
    <row r="36" spans="2:7" ht="16.5" customHeight="1">
      <c r="C36" s="200"/>
    </row>
    <row r="37" spans="2:7" s="200" customFormat="1">
      <c r="C37" s="199"/>
      <c r="D37" s="199"/>
      <c r="E37" s="199"/>
      <c r="F37" s="199"/>
      <c r="G37" s="199"/>
    </row>
    <row r="39" spans="2:7">
      <c r="C39" s="207" t="s">
        <v>127</v>
      </c>
      <c r="D39" s="207"/>
      <c r="E39" s="207"/>
      <c r="F39" s="207"/>
      <c r="G39" s="208"/>
    </row>
    <row r="40" spans="2:7">
      <c r="B40" s="198" t="s">
        <v>99</v>
      </c>
      <c r="C40" s="198" t="s">
        <v>217</v>
      </c>
      <c r="D40" s="198" t="s">
        <v>20</v>
      </c>
      <c r="E40" s="198" t="s">
        <v>21</v>
      </c>
      <c r="F40" s="198" t="s">
        <v>22</v>
      </c>
      <c r="G40" s="198" t="s">
        <v>196</v>
      </c>
    </row>
    <row r="41" spans="2:7">
      <c r="B41" s="200">
        <v>1998</v>
      </c>
      <c r="C41" s="170">
        <v>73235.7</v>
      </c>
      <c r="D41" s="170">
        <v>39453.5</v>
      </c>
      <c r="E41" s="170">
        <v>294494.3</v>
      </c>
      <c r="F41" s="170">
        <v>249447.3</v>
      </c>
      <c r="G41" s="206">
        <f>SUM(C41:F41)</f>
        <v>656630.80000000005</v>
      </c>
    </row>
    <row r="42" spans="2:7">
      <c r="B42" s="200">
        <v>1999</v>
      </c>
      <c r="C42" s="170">
        <v>74789.3</v>
      </c>
      <c r="D42" s="170">
        <v>98391</v>
      </c>
      <c r="E42" s="170">
        <v>326329.59999999998</v>
      </c>
      <c r="F42" s="170">
        <v>321284.09999999998</v>
      </c>
      <c r="G42" s="206">
        <f t="shared" ref="G42:G62" si="0">SUM(C42:F42)</f>
        <v>820794</v>
      </c>
    </row>
    <row r="43" spans="2:7">
      <c r="B43" s="200">
        <v>2000</v>
      </c>
      <c r="C43" s="170">
        <v>96110.1</v>
      </c>
      <c r="D43" s="170">
        <v>99197.3</v>
      </c>
      <c r="E43" s="170">
        <v>283691.7</v>
      </c>
      <c r="F43" s="170">
        <v>447925.2</v>
      </c>
      <c r="G43" s="206">
        <f t="shared" si="0"/>
        <v>926924.3</v>
      </c>
    </row>
    <row r="44" spans="2:7">
      <c r="B44" s="200">
        <v>2001</v>
      </c>
      <c r="C44" s="170">
        <v>106283.8</v>
      </c>
      <c r="D44" s="170">
        <v>54719.199999999997</v>
      </c>
      <c r="E44" s="170">
        <v>299968.5</v>
      </c>
      <c r="F44" s="170">
        <v>313966.3</v>
      </c>
      <c r="G44" s="206">
        <f t="shared" si="0"/>
        <v>774937.8</v>
      </c>
    </row>
    <row r="45" spans="2:7">
      <c r="B45" s="200">
        <v>2002</v>
      </c>
      <c r="C45" s="170">
        <v>80549</v>
      </c>
      <c r="D45" s="170">
        <v>153854.5</v>
      </c>
      <c r="E45" s="170">
        <v>431309</v>
      </c>
      <c r="F45" s="170">
        <v>444023</v>
      </c>
      <c r="G45" s="206">
        <f t="shared" si="0"/>
        <v>1109735.5</v>
      </c>
    </row>
    <row r="46" spans="2:7">
      <c r="B46" s="200">
        <v>2003</v>
      </c>
      <c r="C46" s="170">
        <v>116201.9</v>
      </c>
      <c r="D46" s="170">
        <v>136740.4</v>
      </c>
      <c r="E46" s="170">
        <v>385869.8</v>
      </c>
      <c r="F46" s="170">
        <v>365032.3</v>
      </c>
      <c r="G46" s="206">
        <f t="shared" si="0"/>
        <v>1003844.3999999999</v>
      </c>
    </row>
    <row r="47" spans="2:7">
      <c r="B47" s="200">
        <v>2004</v>
      </c>
      <c r="C47" s="170">
        <v>109430</v>
      </c>
      <c r="D47" s="170">
        <v>202177.7</v>
      </c>
      <c r="E47" s="170">
        <v>423962</v>
      </c>
      <c r="F47" s="170">
        <v>512421</v>
      </c>
      <c r="G47" s="206">
        <f t="shared" si="0"/>
        <v>1247990.7</v>
      </c>
    </row>
    <row r="48" spans="2:7">
      <c r="B48" s="200">
        <v>2005</v>
      </c>
      <c r="C48" s="170">
        <v>100095</v>
      </c>
      <c r="D48" s="170">
        <v>172261</v>
      </c>
      <c r="E48" s="170">
        <v>440780</v>
      </c>
      <c r="F48" s="170">
        <v>455465</v>
      </c>
      <c r="G48" s="206">
        <f t="shared" si="0"/>
        <v>1168601</v>
      </c>
    </row>
    <row r="49" spans="2:7">
      <c r="B49" s="200">
        <v>2006</v>
      </c>
      <c r="C49" s="170">
        <v>151042</v>
      </c>
      <c r="D49" s="170">
        <v>241529</v>
      </c>
      <c r="E49" s="170">
        <v>380166</v>
      </c>
      <c r="F49" s="172">
        <v>427116.81599999999</v>
      </c>
      <c r="G49" s="206">
        <f t="shared" si="0"/>
        <v>1199853.8160000001</v>
      </c>
    </row>
    <row r="50" spans="2:7">
      <c r="B50" s="200">
        <v>2007</v>
      </c>
      <c r="C50" s="170">
        <v>213918</v>
      </c>
      <c r="D50" s="170">
        <v>270250</v>
      </c>
      <c r="E50" s="170">
        <v>451424</v>
      </c>
      <c r="F50" s="172">
        <v>492146</v>
      </c>
      <c r="G50" s="206">
        <f t="shared" si="0"/>
        <v>1427738</v>
      </c>
    </row>
    <row r="51" spans="2:7">
      <c r="B51" s="200">
        <v>2008</v>
      </c>
      <c r="C51" s="170">
        <v>186914</v>
      </c>
      <c r="D51" s="201">
        <v>203898</v>
      </c>
      <c r="E51" s="201">
        <v>383890</v>
      </c>
      <c r="F51" s="209">
        <v>428946</v>
      </c>
      <c r="G51" s="206">
        <f t="shared" si="0"/>
        <v>1203648</v>
      </c>
    </row>
    <row r="52" spans="2:7">
      <c r="B52" s="200">
        <v>2009</v>
      </c>
      <c r="C52" s="201">
        <v>141111</v>
      </c>
      <c r="D52" s="170">
        <v>200398</v>
      </c>
      <c r="E52" s="170">
        <v>365617</v>
      </c>
      <c r="F52" s="210">
        <v>446996</v>
      </c>
      <c r="G52" s="206">
        <f t="shared" si="0"/>
        <v>1154122</v>
      </c>
    </row>
    <row r="53" spans="2:7">
      <c r="B53" s="200">
        <v>2010</v>
      </c>
      <c r="C53" s="201">
        <v>179539</v>
      </c>
      <c r="D53" s="170">
        <v>252246</v>
      </c>
      <c r="E53" s="170">
        <f>Quarterly_Adjusted_Figures!BA12</f>
        <v>451713</v>
      </c>
      <c r="F53" s="170">
        <f>Quarterly_Adjusted_Figures!BB12</f>
        <v>429948</v>
      </c>
      <c r="G53" s="206">
        <f t="shared" si="0"/>
        <v>1313446</v>
      </c>
    </row>
    <row r="54" spans="2:7">
      <c r="B54" s="200">
        <v>2011</v>
      </c>
      <c r="C54" s="170">
        <f>Quarterly_Adjusted_Figures!BC12</f>
        <v>154601</v>
      </c>
      <c r="D54" s="170">
        <f>Quarterly_Adjusted_Figures!BD12</f>
        <v>181824</v>
      </c>
      <c r="E54" s="170">
        <f>Monthly_Imports!B25+Monthly_Imports!C25+Monthly_Imports!D25</f>
        <v>359684</v>
      </c>
      <c r="F54" s="170">
        <f>Monthly_Imports!E25+Monthly_Imports!F25+Monthly_Imports!G25</f>
        <v>387407</v>
      </c>
      <c r="G54" s="206">
        <f t="shared" si="0"/>
        <v>1083516</v>
      </c>
    </row>
    <row r="55" spans="2:7">
      <c r="B55" s="200">
        <v>2012</v>
      </c>
      <c r="C55" s="201">
        <v>171783</v>
      </c>
      <c r="D55" s="170">
        <f>Monthly_Imports!K25+Monthly_Imports!L25+Monthly_Imports!M25</f>
        <v>247838</v>
      </c>
      <c r="E55" s="201">
        <f>Monthly_Imports!B31+Monthly_Imports!C31+Monthly_Imports!D31</f>
        <v>430188</v>
      </c>
      <c r="F55" s="170">
        <f>Monthly_Imports!$E$31+Monthly_Imports!$F$31+Monthly_Imports!$G$31</f>
        <v>507784</v>
      </c>
      <c r="G55" s="206">
        <f t="shared" si="0"/>
        <v>1357593</v>
      </c>
    </row>
    <row r="56" spans="2:7">
      <c r="B56" s="200">
        <v>2013</v>
      </c>
      <c r="C56" s="170">
        <f>Monthly_Imports!H31+Monthly_Imports!I31+Monthly_Imports!J31</f>
        <v>187667</v>
      </c>
      <c r="D56" s="170">
        <f>Quarterly_Adjusted_Figures!BL12</f>
        <v>290774</v>
      </c>
      <c r="E56" s="170">
        <f>Monthly_Imports!$B$37+Monthly_Imports!$C$37+Monthly_Imports!$D$37</f>
        <v>408088</v>
      </c>
      <c r="F56" s="170">
        <f>Quarterly_Adjusted_Figures!BN12</f>
        <v>479335</v>
      </c>
      <c r="G56" s="206">
        <f t="shared" si="0"/>
        <v>1365864</v>
      </c>
    </row>
    <row r="57" spans="2:7">
      <c r="B57" s="200">
        <v>2014</v>
      </c>
      <c r="C57" s="170">
        <f>Monthly_Imports!H37+Monthly_Imports!I37+Monthly_Imports!J37</f>
        <v>180556.9</v>
      </c>
      <c r="D57" s="170">
        <f>Monthly_Imports!K37+Monthly_Imports!L37+Monthly_Imports!M37</f>
        <v>241029</v>
      </c>
      <c r="E57" s="211">
        <f>Monthly_Imports!B43+Monthly_Imports!C43+Monthly_Imports!D43</f>
        <v>422637</v>
      </c>
      <c r="F57" s="170">
        <f>Quarterly_Adjusted_Figures!BR12</f>
        <v>541443</v>
      </c>
      <c r="G57" s="206">
        <f t="shared" si="0"/>
        <v>1385665.9</v>
      </c>
    </row>
    <row r="58" spans="2:7">
      <c r="B58" s="200">
        <v>2015</v>
      </c>
      <c r="C58" s="170">
        <f>Monthly_Imports!H43+Monthly_Imports!I43+Monthly_Imports!J43</f>
        <v>176479</v>
      </c>
      <c r="D58" s="170">
        <f>Monthly_Imports!K43+Monthly_Imports!L43+Monthly_Imports!M43</f>
        <v>279266</v>
      </c>
      <c r="E58" s="170">
        <f>Monthly_Imports!B49+Monthly_Imports!C49+Monthly_Imports!D49</f>
        <v>434857</v>
      </c>
      <c r="F58" s="170">
        <f>Monthly_Imports!E49+Monthly_Imports!F49+Monthly_Imports!G49</f>
        <v>487973</v>
      </c>
      <c r="G58" s="206">
        <f t="shared" si="0"/>
        <v>1378575</v>
      </c>
    </row>
    <row r="59" spans="2:7">
      <c r="B59" s="200">
        <v>2016</v>
      </c>
      <c r="C59" s="170">
        <f>'Cumulative monthly imports'!I14</f>
        <v>172203</v>
      </c>
      <c r="D59" s="170">
        <f>Monthly_Imports!K49+Monthly_Imports!L49+Monthly_Imports!M49</f>
        <v>187043.7</v>
      </c>
      <c r="E59" s="170">
        <f>Monthly_Imports!$B$55+Monthly_Imports!$C$55+Monthly_Imports!$D$55</f>
        <v>347790</v>
      </c>
      <c r="F59" s="170">
        <f>Monthly_Imports!E55+Monthly_Imports!F55+Monthly_Imports!G55</f>
        <v>455372</v>
      </c>
      <c r="G59" s="206">
        <f t="shared" si="0"/>
        <v>1162408.7</v>
      </c>
    </row>
    <row r="60" spans="2:7">
      <c r="B60" s="200">
        <v>2017</v>
      </c>
      <c r="C60" s="170">
        <f>Quarterly_Adjusted_Figures!CA12</f>
        <v>212625.9</v>
      </c>
      <c r="D60" s="170">
        <f>Monthly_Imports!K55+Monthly_Imports!L55+Monthly_Imports!M55</f>
        <v>161996</v>
      </c>
      <c r="E60" s="170">
        <f>Monthly_Imports!B61+Monthly_Imports!C61+Monthly_Imports!D61</f>
        <v>351183</v>
      </c>
      <c r="F60" s="170">
        <f>Quarterly_Adjusted_Figures!CD12</f>
        <v>501392</v>
      </c>
      <c r="G60" s="206">
        <f t="shared" si="0"/>
        <v>1227196.8999999999</v>
      </c>
    </row>
    <row r="61" spans="2:7">
      <c r="B61" s="212">
        <v>2018</v>
      </c>
      <c r="C61" s="172">
        <f>Monthly_Imports!H61+Monthly_Imports!I61+Monthly_Imports!J61</f>
        <v>232903</v>
      </c>
      <c r="D61" s="172">
        <f>Quarterly_Adjusted_Figures!CF12</f>
        <v>193235</v>
      </c>
      <c r="E61" s="170">
        <f>Monthly_Imports!B67+Monthly_Imports!C67+Monthly_Imports!D67</f>
        <v>342710</v>
      </c>
      <c r="F61" s="170">
        <f>Quarterly_Adjusted_Figures!CH12</f>
        <v>407980</v>
      </c>
      <c r="G61" s="206">
        <f t="shared" si="0"/>
        <v>1176828</v>
      </c>
    </row>
    <row r="62" spans="2:7">
      <c r="B62" s="212">
        <v>2019</v>
      </c>
      <c r="C62" s="172">
        <f>Monthly_Imports!H67+Monthly_Imports!I67+Monthly_Imports!J67</f>
        <v>190368</v>
      </c>
      <c r="D62" s="172">
        <f>Monthly_Imports!K67+Monthly_Imports!L67+Monthly_Imports!M67</f>
        <v>191167</v>
      </c>
      <c r="E62" s="170">
        <f>Monthly_Imports!B73+Monthly_Imports!C73+Monthly_Imports!D73</f>
        <v>348122</v>
      </c>
      <c r="F62" s="170">
        <f>Monthly_Imports!E73+Monthly_Imports!F73+Monthly_Imports!G73</f>
        <v>449851</v>
      </c>
      <c r="G62" s="206">
        <f t="shared" si="0"/>
        <v>1179508</v>
      </c>
    </row>
    <row r="63" spans="2:7">
      <c r="B63" s="212">
        <v>2020</v>
      </c>
      <c r="C63" s="213">
        <f>Monthly_Imports!H73+Monthly_Imports!I73+Monthly_Imports!J73</f>
        <v>153426</v>
      </c>
      <c r="D63" s="197"/>
    </row>
    <row r="64" spans="2:7">
      <c r="B64" s="212"/>
      <c r="C64" s="213"/>
      <c r="D64" s="197"/>
    </row>
    <row r="65" spans="2:4">
      <c r="B65" s="212"/>
      <c r="C65" s="213"/>
      <c r="D65" s="197"/>
    </row>
    <row r="66" spans="2:4">
      <c r="B66" s="212"/>
      <c r="C66" s="214"/>
      <c r="D66" s="197"/>
    </row>
    <row r="67" spans="2:4">
      <c r="B67" s="212"/>
      <c r="C67" s="213"/>
      <c r="D67" s="197"/>
    </row>
  </sheetData>
  <mergeCells count="2">
    <mergeCell ref="B9:F9"/>
    <mergeCell ref="A4:G4"/>
  </mergeCells>
  <phoneticPr fontId="0" type="noConversion"/>
  <pageMargins left="0.78749999999999998" right="0.78749999999999998" top="0.78749999999999998" bottom="0.78749999999999998" header="0.51180555555555551" footer="0.51180555555555551"/>
  <pageSetup paperSize="9" firstPageNumber="0" orientation="portrait" horizontalDpi="300" verticalDpi="30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3"/>
  <sheetViews>
    <sheetView topLeftCell="A17" workbookViewId="0">
      <selection activeCell="O38" sqref="O38"/>
    </sheetView>
  </sheetViews>
  <sheetFormatPr defaultColWidth="8.85546875" defaultRowHeight="12"/>
  <cols>
    <col min="1" max="16384" width="8.85546875" style="139"/>
  </cols>
  <sheetData>
    <row r="1" spans="1:4" hidden="1"/>
    <row r="2" spans="1:4" s="362" customFormat="1" ht="12.75"/>
    <row r="3" spans="1:4" s="362" customFormat="1" ht="12.75"/>
    <row r="4" spans="1:4" s="362" customFormat="1" ht="12.75"/>
    <row r="5" spans="1:4" s="362" customFormat="1" ht="12.75"/>
    <row r="6" spans="1:4" s="362" customFormat="1" ht="12.75"/>
    <row r="7" spans="1:4" s="362" customFormat="1" ht="12.75"/>
    <row r="8" spans="1:4" s="362" customFormat="1" ht="12.75"/>
    <row r="9" spans="1:4" s="362" customFormat="1" ht="12.75"/>
    <row r="10" spans="1:4" s="362" customFormat="1" ht="12.75"/>
    <row r="13" spans="1:4">
      <c r="A13" s="139" t="s">
        <v>32</v>
      </c>
      <c r="B13" s="139" t="s">
        <v>29</v>
      </c>
      <c r="C13" s="139" t="s">
        <v>30</v>
      </c>
      <c r="D13" s="139" t="s">
        <v>31</v>
      </c>
    </row>
  </sheetData>
  <mergeCells count="1">
    <mergeCell ref="A2:XFD10"/>
  </mergeCells>
  <phoneticPr fontId="3" type="noConversion"/>
  <pageMargins left="0.7" right="0.7" top="0.75" bottom="0.75" header="0.3" footer="0.3"/>
  <pageSetup orientation="portrait" horizontalDpi="1200" verticalDpi="120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31"/>
  <sheetViews>
    <sheetView topLeftCell="A33" workbookViewId="0">
      <selection activeCell="A24" sqref="A1:IV65536"/>
    </sheetView>
  </sheetViews>
  <sheetFormatPr defaultRowHeight="12"/>
  <cols>
    <col min="1" max="2" width="9.140625" style="27"/>
    <col min="3" max="3" width="21.140625" style="27" customWidth="1"/>
    <col min="4" max="4" width="18.42578125" style="27" customWidth="1"/>
    <col min="5" max="5" width="17.85546875" style="27" customWidth="1"/>
    <col min="6" max="6" width="16.42578125" style="27" customWidth="1"/>
    <col min="7" max="7" width="14" style="27" customWidth="1"/>
    <col min="8" max="16384" width="9.140625" style="27"/>
  </cols>
  <sheetData>
    <row r="1" spans="1:8" s="161" customFormat="1"/>
    <row r="2" spans="1:8" s="161" customFormat="1"/>
    <row r="3" spans="1:8" s="161" customFormat="1" ht="15" customHeight="1">
      <c r="B3" s="215"/>
      <c r="C3" s="215"/>
      <c r="D3" s="215"/>
      <c r="E3" s="215"/>
      <c r="F3" s="215"/>
    </row>
    <row r="4" spans="1:8" s="161" customFormat="1">
      <c r="A4" s="156"/>
      <c r="B4" s="367" t="s">
        <v>233</v>
      </c>
      <c r="C4" s="367"/>
      <c r="D4" s="367"/>
      <c r="E4" s="367"/>
      <c r="F4" s="367"/>
      <c r="G4" s="216"/>
      <c r="H4" s="216"/>
    </row>
    <row r="5" spans="1:8" s="161" customFormat="1" ht="13.5" customHeight="1">
      <c r="B5" s="215"/>
      <c r="C5" s="215"/>
      <c r="D5" s="215"/>
      <c r="E5" s="215"/>
      <c r="F5" s="215"/>
    </row>
    <row r="6" spans="1:8" s="161" customFormat="1" ht="12.75" customHeight="1">
      <c r="B6" s="215"/>
      <c r="C6" s="215"/>
      <c r="D6" s="215"/>
      <c r="E6" s="215"/>
      <c r="F6" s="215"/>
    </row>
    <row r="7" spans="1:8" s="161" customFormat="1" ht="15.75" customHeight="1">
      <c r="B7" s="215"/>
      <c r="C7" s="215"/>
      <c r="D7" s="215"/>
      <c r="E7" s="215"/>
      <c r="F7" s="215"/>
    </row>
    <row r="8" spans="1:8" s="161" customFormat="1"/>
    <row r="9" spans="1:8" s="217" customFormat="1">
      <c r="B9" s="218" t="s">
        <v>99</v>
      </c>
      <c r="C9" s="218" t="s">
        <v>93</v>
      </c>
      <c r="D9" s="218" t="s">
        <v>94</v>
      </c>
      <c r="E9" s="218" t="s">
        <v>95</v>
      </c>
      <c r="F9" s="365" t="s">
        <v>67</v>
      </c>
      <c r="G9" s="366"/>
    </row>
    <row r="10" spans="1:8" ht="14.25" customHeight="1">
      <c r="B10" s="27">
        <v>1998</v>
      </c>
      <c r="C10" s="173">
        <f>Quarterly_Adjusted_Figures!C9+Quarterly_Adjusted_Figures!D9+Quarterly_Adjusted_Figures!E9+Quarterly_Adjusted_Figures!F9</f>
        <v>289256.8</v>
      </c>
      <c r="D10" s="173">
        <f>Quarterly_Adjusted_Figures!F15</f>
        <v>367374</v>
      </c>
      <c r="E10" s="173">
        <f>Quarterly_Adjusted_Figures!F14</f>
        <v>656630.80000000005</v>
      </c>
      <c r="F10" s="219">
        <f>D10/E10</f>
        <v>0.55948335046117237</v>
      </c>
    </row>
    <row r="11" spans="1:8" ht="14.25" customHeight="1">
      <c r="B11" s="27">
        <v>1999</v>
      </c>
      <c r="C11" s="173">
        <f>E11-D11</f>
        <v>404761</v>
      </c>
      <c r="D11" s="173">
        <f>Quarterly_Adjusted_Figures!J15</f>
        <v>416033</v>
      </c>
      <c r="E11" s="173">
        <f>Quarterly_Adjusted_Figures!J14</f>
        <v>820794</v>
      </c>
      <c r="F11" s="219">
        <f t="shared" ref="F11:F21" si="0">D11/E11</f>
        <v>0.50686652192876658</v>
      </c>
    </row>
    <row r="12" spans="1:8" ht="14.25" customHeight="1">
      <c r="B12" s="27">
        <v>2000</v>
      </c>
      <c r="C12" s="173">
        <f t="shared" ref="C12:C21" si="1">E12-D12</f>
        <v>430079.30000000005</v>
      </c>
      <c r="D12" s="173">
        <f>Quarterly_Adjusted_Figures!N15</f>
        <v>496845</v>
      </c>
      <c r="E12" s="173">
        <f>Quarterly_Adjusted_Figures!N14</f>
        <v>926924.3</v>
      </c>
      <c r="F12" s="219">
        <f t="shared" si="0"/>
        <v>0.53601464542465871</v>
      </c>
    </row>
    <row r="13" spans="1:8" ht="14.25" customHeight="1">
      <c r="B13" s="27">
        <v>2001</v>
      </c>
      <c r="C13" s="173">
        <f t="shared" si="1"/>
        <v>271910.80000000005</v>
      </c>
      <c r="D13" s="173">
        <f>Quarterly_Adjusted_Figures!R15</f>
        <v>503027</v>
      </c>
      <c r="E13" s="173">
        <f>Quarterly_Adjusted_Figures!R14</f>
        <v>774937.8</v>
      </c>
      <c r="F13" s="219">
        <f t="shared" si="0"/>
        <v>0.64911919382433014</v>
      </c>
    </row>
    <row r="14" spans="1:8" ht="14.25" customHeight="1">
      <c r="B14" s="27">
        <v>2002</v>
      </c>
      <c r="C14" s="173">
        <f t="shared" si="1"/>
        <v>259857.5</v>
      </c>
      <c r="D14" s="173">
        <f>Quarterly_Adjusted_Figures!V15</f>
        <v>849878</v>
      </c>
      <c r="E14" s="173">
        <f>Quarterly_Adjusted_Figures!V14</f>
        <v>1109735.5</v>
      </c>
      <c r="F14" s="219">
        <f t="shared" si="0"/>
        <v>0.76583834616446889</v>
      </c>
    </row>
    <row r="15" spans="1:8" ht="14.25" customHeight="1">
      <c r="B15" s="27">
        <v>2003</v>
      </c>
      <c r="C15" s="173">
        <f t="shared" si="1"/>
        <v>423011.39999999991</v>
      </c>
      <c r="D15" s="173">
        <f>Quarterly_Adjusted_Figures!Z15</f>
        <v>580833</v>
      </c>
      <c r="E15" s="173">
        <f>Quarterly_Adjusted_Figures!Z14</f>
        <v>1003844.3999999999</v>
      </c>
      <c r="F15" s="219">
        <f t="shared" si="0"/>
        <v>0.57860859710927315</v>
      </c>
    </row>
    <row r="16" spans="1:8" ht="14.25" customHeight="1">
      <c r="B16" s="27">
        <v>2004</v>
      </c>
      <c r="C16" s="173">
        <f t="shared" si="1"/>
        <v>438829.69999999995</v>
      </c>
      <c r="D16" s="173">
        <f>Quarterly_Adjusted_Figures!AD15</f>
        <v>809161</v>
      </c>
      <c r="E16" s="173">
        <f>Quarterly_Adjusted_Figures!AD14</f>
        <v>1247990.7</v>
      </c>
      <c r="F16" s="219">
        <f t="shared" si="0"/>
        <v>0.64837101750838366</v>
      </c>
    </row>
    <row r="17" spans="2:6" ht="14.25" customHeight="1">
      <c r="B17" s="27">
        <v>2005</v>
      </c>
      <c r="C17" s="173">
        <f t="shared" si="1"/>
        <v>317862</v>
      </c>
      <c r="D17" s="173">
        <f>Quarterly_Adjusted_Figures!AH15</f>
        <v>850739</v>
      </c>
      <c r="E17" s="173">
        <f>Quarterly_Adjusted_Figures!AH14</f>
        <v>1168601</v>
      </c>
      <c r="F17" s="219">
        <f t="shared" si="0"/>
        <v>0.72799783672955953</v>
      </c>
    </row>
    <row r="18" spans="2:6" ht="14.25" customHeight="1">
      <c r="B18" s="27">
        <v>2006</v>
      </c>
      <c r="C18" s="173">
        <f t="shared" si="1"/>
        <v>436974.81600000011</v>
      </c>
      <c r="D18" s="173">
        <f>Quarterly_Adjusted_Figures!AL15</f>
        <v>762879</v>
      </c>
      <c r="E18" s="173">
        <f>Quarterly_Adjusted_Figures!AL14</f>
        <v>1199853.8160000001</v>
      </c>
      <c r="F18" s="219">
        <f t="shared" si="0"/>
        <v>0.63580995436864118</v>
      </c>
    </row>
    <row r="19" spans="2:6" ht="14.25" customHeight="1">
      <c r="B19" s="27">
        <v>2007</v>
      </c>
      <c r="C19" s="173">
        <f t="shared" si="1"/>
        <v>513375</v>
      </c>
      <c r="D19" s="173">
        <f>Quarterly_Adjusted_Figures!AP15</f>
        <v>914363</v>
      </c>
      <c r="E19" s="173">
        <f>Quarterly_Adjusted_Figures!AP14</f>
        <v>1427738</v>
      </c>
      <c r="F19" s="219">
        <f t="shared" si="0"/>
        <v>0.64042772553507721</v>
      </c>
    </row>
    <row r="20" spans="2:6" ht="14.25" customHeight="1">
      <c r="B20" s="27">
        <v>2008</v>
      </c>
      <c r="C20" s="173">
        <f t="shared" si="1"/>
        <v>456541</v>
      </c>
      <c r="D20" s="173">
        <f>Quarterly_Adjusted_Figures!AT15</f>
        <v>747107</v>
      </c>
      <c r="E20" s="173">
        <f>Quarterly_Adjusted_Figures!AT14</f>
        <v>1203648</v>
      </c>
      <c r="F20" s="219">
        <f t="shared" si="0"/>
        <v>0.62070223188174611</v>
      </c>
    </row>
    <row r="21" spans="2:6" ht="14.25" customHeight="1">
      <c r="B21" s="27">
        <v>2009</v>
      </c>
      <c r="C21" s="173">
        <f t="shared" si="1"/>
        <v>425595</v>
      </c>
      <c r="D21" s="173">
        <f>Quarterly_Adjusted_Figures!AX15</f>
        <v>728527</v>
      </c>
      <c r="E21" s="173">
        <f>Quarterly_Adjusted_Figures!AX14</f>
        <v>1154122</v>
      </c>
      <c r="F21" s="219">
        <f t="shared" si="0"/>
        <v>0.63123915842519251</v>
      </c>
    </row>
    <row r="22" spans="2:6" ht="14.25" customHeight="1">
      <c r="B22" s="27">
        <v>2010</v>
      </c>
      <c r="C22" s="173">
        <f>E22-D22</f>
        <v>467325</v>
      </c>
      <c r="D22" s="173">
        <f>Quarterly_Adjusted_Figures!BB15</f>
        <v>846121</v>
      </c>
      <c r="E22" s="173">
        <f>Quarterly_Adjusted_Figures!BB14</f>
        <v>1313446</v>
      </c>
      <c r="F22" s="219">
        <f t="shared" ref="F22:F31" si="2">D22/E22</f>
        <v>0.64419930472969578</v>
      </c>
    </row>
    <row r="23" spans="2:6">
      <c r="B23" s="27">
        <v>2011</v>
      </c>
      <c r="C23" s="173">
        <f>E23-D23</f>
        <v>361749</v>
      </c>
      <c r="D23" s="173">
        <f>Quarterly_Adjusted_Figures!BF15</f>
        <v>721767</v>
      </c>
      <c r="E23" s="173">
        <f>Quarterly_Adjusted_Figures!BF14</f>
        <v>1083516</v>
      </c>
      <c r="F23" s="219">
        <f t="shared" si="2"/>
        <v>0.66613414107405888</v>
      </c>
    </row>
    <row r="24" spans="2:6">
      <c r="B24" s="27">
        <v>2012</v>
      </c>
      <c r="C24" s="173">
        <f>Monthly_Imports!$H$22+Monthly_Imports!$I$22+Monthly_Imports!$J$22+Monthly_Imports!$K$22+Monthly_Imports!$L$22+Monthly_Imports!$M$22+Monthly_Imports!$B$28+Monthly_Imports!$C$28+Monthly_Imports!$D$28+Monthly_Imports!$E$28+Monthly_Imports!$F$28+Monthly_Imports!$G$28</f>
        <v>445050</v>
      </c>
      <c r="D24" s="173">
        <f>Monthly_Imports!$H$23+Monthly_Imports!$I$23+Monthly_Imports!$J$23+Monthly_Imports!$K$23+Monthly_Imports!$L$23+Monthly_Imports!$M$23+Monthly_Imports!$B$29+Monthly_Imports!$C$29+Monthly_Imports!$D$29+Monthly_Imports!$E$29+Monthly_Imports!$F$29+Monthly_Imports!$G$29</f>
        <v>912543</v>
      </c>
      <c r="E24" s="173">
        <f>C24+D24</f>
        <v>1357593</v>
      </c>
      <c r="F24" s="219">
        <f t="shared" si="2"/>
        <v>0.67217715471426265</v>
      </c>
    </row>
    <row r="25" spans="2:6">
      <c r="B25" s="27">
        <v>2013</v>
      </c>
      <c r="C25" s="173">
        <f>Quarterly_Adjusted_Figures!BK9+Quarterly_Adjusted_Figures!BL9+Quarterly_Adjusted_Figures!BM9+Quarterly_Adjusted_Figures!BN9</f>
        <v>450352</v>
      </c>
      <c r="D25" s="173">
        <f>Quarterly_Adjusted_Figures!BK10+Quarterly_Adjusted_Figures!BL10+Quarterly_Adjusted_Figures!BM10+Quarterly_Adjusted_Figures!BN10</f>
        <v>915512</v>
      </c>
      <c r="E25" s="173">
        <f>C25+D25</f>
        <v>1365864</v>
      </c>
      <c r="F25" s="219">
        <f t="shared" si="2"/>
        <v>0.67028049644766974</v>
      </c>
    </row>
    <row r="26" spans="2:6">
      <c r="B26" s="27">
        <v>2014</v>
      </c>
      <c r="C26" s="173">
        <f>Quarterly_Adjusted_Figures!BO9+Quarterly_Adjusted_Figures!BP9+Quarterly_Adjusted_Figures!BQ9+Quarterly_Adjusted_Figures!BR9</f>
        <v>441364.9</v>
      </c>
      <c r="D26" s="173">
        <f>Quarterly_Adjusted_Figures!BO10+Quarterly_Adjusted_Figures!BP10+Quarterly_Adjusted_Figures!BQ10+Quarterly_Adjusted_Figures!BR10</f>
        <v>944301</v>
      </c>
      <c r="E26" s="173">
        <f>Quarterly_Adjusted_Figures!BO12+Quarterly_Adjusted_Figures!BP12+Quarterly_Adjusted_Figures!BQ12+Quarterly_Adjusted_Figures!BR12</f>
        <v>1385665.9</v>
      </c>
      <c r="F26" s="219">
        <f t="shared" si="2"/>
        <v>0.68147812542691577</v>
      </c>
    </row>
    <row r="27" spans="2:6">
      <c r="B27" s="27">
        <v>2015</v>
      </c>
      <c r="C27" s="173">
        <f>Quarterly_Adjusted_Figures!BS9+Quarterly_Adjusted_Figures!BT9+Quarterly_Adjusted_Figures!BU9+Quarterly_Adjusted_Figures!BV9</f>
        <v>500389</v>
      </c>
      <c r="D27" s="173">
        <f>Quarterly_Adjusted_Figures!BS10+Quarterly_Adjusted_Figures!BT10+Quarterly_Adjusted_Figures!BU10+Quarterly_Adjusted_Figures!BV10</f>
        <v>878186</v>
      </c>
      <c r="E27" s="173">
        <f>C27+D27</f>
        <v>1378575</v>
      </c>
      <c r="F27" s="219">
        <f t="shared" si="2"/>
        <v>0.63702446366719256</v>
      </c>
    </row>
    <row r="28" spans="2:6">
      <c r="B28" s="27">
        <v>2016</v>
      </c>
      <c r="C28" s="173">
        <f>Quarterly_Adjusted_Figures!BW9+Quarterly_Adjusted_Figures!BX9+Quarterly_Adjusted_Figures!BY9+Quarterly_Adjusted_Figures!BZ9</f>
        <v>398025.7</v>
      </c>
      <c r="D28" s="173">
        <f>Quarterly_Adjusted_Figures!BW10+Quarterly_Adjusted_Figures!BX10+Quarterly_Adjusted_Figures!BY10+Quarterly_Adjusted_Figures!BZ10</f>
        <v>764383</v>
      </c>
      <c r="E28" s="173">
        <f>C28+D28</f>
        <v>1162408.7</v>
      </c>
      <c r="F28" s="219">
        <f t="shared" si="2"/>
        <v>0.65758540864327675</v>
      </c>
    </row>
    <row r="29" spans="2:6">
      <c r="B29" s="27">
        <v>2017</v>
      </c>
      <c r="C29" s="173">
        <f>Quarterly_Adjusted_Figures!CA9+Quarterly_Adjusted_Figures!CB9+Quarterly_Adjusted_Figures!CC9+Quarterly_Adjusted_Figures!CD9</f>
        <v>421501.9</v>
      </c>
      <c r="D29" s="173">
        <f>Quarterly_Adjusted_Figures!CA10+Quarterly_Adjusted_Figures!CB10+Quarterly_Adjusted_Figures!CC10+Quarterly_Adjusted_Figures!CD10</f>
        <v>805695</v>
      </c>
      <c r="E29" s="173">
        <f>C29+D29</f>
        <v>1227196.8999999999</v>
      </c>
      <c r="F29" s="219">
        <f t="shared" si="2"/>
        <v>0.65653278622199918</v>
      </c>
    </row>
    <row r="30" spans="2:6">
      <c r="B30" s="27">
        <v>2018</v>
      </c>
      <c r="C30" s="173">
        <f>Monthly_Imports!H58+Monthly_Imports!I58+Monthly_Imports!J58+Monthly_Imports!K58+Monthly_Imports!L58+Monthly_Imports!M58+Monthly_Imports!B64+Monthly_Imports!C64+Monthly_Imports!D64+Monthly_Imports!E64+Monthly_Imports!F64+Monthly_Imports!G64</f>
        <v>406427</v>
      </c>
      <c r="D30" s="173">
        <f>Monthly_Imports!H59+Monthly_Imports!I59+Monthly_Imports!J59+Monthly_Imports!K59+Monthly_Imports!L59+Monthly_Imports!M59+Monthly_Imports!B65+Monthly_Imports!C65+Monthly_Imports!D65+Monthly_Imports!E65+Monthly_Imports!F65+Monthly_Imports!G65</f>
        <v>770401</v>
      </c>
      <c r="E30" s="173">
        <f>C30+D30</f>
        <v>1176828</v>
      </c>
      <c r="F30" s="219">
        <f t="shared" si="2"/>
        <v>0.654641969769584</v>
      </c>
    </row>
    <row r="31" spans="2:6">
      <c r="B31" s="27">
        <v>2019</v>
      </c>
      <c r="C31" s="173">
        <f>Monthly_Imports!H64+Monthly_Imports!I64+Monthly_Imports!J64+Monthly_Imports!K64+Monthly_Imports!L64+Monthly_Imports!M64+Monthly_Imports!B70+Monthly_Imports!C70+Monthly_Imports!D70+Monthly_Imports!E70+Monthly_Imports!F70+Monthly_Imports!G70</f>
        <v>423573</v>
      </c>
      <c r="D31" s="173">
        <f>Monthly_Imports!H65+Monthly_Imports!I65+Monthly_Imports!J65+Monthly_Imports!K65+Monthly_Imports!L65+Monthly_Imports!M65+Monthly_Imports!B71+Monthly_Imports!C71+Monthly_Imports!D71+Monthly_Imports!E71+Monthly_Imports!F71+Monthly_Imports!G71</f>
        <v>755935</v>
      </c>
      <c r="E31" s="173">
        <f>C31+D31</f>
        <v>1179508</v>
      </c>
      <c r="F31" s="219">
        <f t="shared" si="2"/>
        <v>0.64089009993997492</v>
      </c>
    </row>
  </sheetData>
  <mergeCells count="2">
    <mergeCell ref="F9:G9"/>
    <mergeCell ref="B4:F4"/>
  </mergeCells>
  <phoneticPr fontId="3" type="noConversion"/>
  <pageMargins left="0.7" right="0.7" top="0.75" bottom="0.75" header="0.3" footer="0.3"/>
  <pageSetup paperSize="9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M23"/>
  <sheetViews>
    <sheetView workbookViewId="0">
      <selection activeCell="M17" sqref="M17"/>
    </sheetView>
  </sheetViews>
  <sheetFormatPr defaultColWidth="8.85546875" defaultRowHeight="12"/>
  <cols>
    <col min="1" max="1" width="8.85546875" style="139"/>
    <col min="2" max="2" width="12.140625" style="139" customWidth="1"/>
    <col min="3" max="4" width="11.42578125" style="139" bestFit="1" customWidth="1"/>
    <col min="5" max="5" width="9.42578125" style="139" bestFit="1" customWidth="1"/>
    <col min="6" max="10" width="8.85546875" style="139"/>
    <col min="11" max="12" width="9.140625" style="139" bestFit="1" customWidth="1"/>
    <col min="13" max="16384" width="8.85546875" style="139"/>
  </cols>
  <sheetData>
    <row r="1" spans="2:13" s="362" customFormat="1" ht="15.95" customHeight="1"/>
    <row r="2" spans="2:13" s="362" customFormat="1" ht="15.95" customHeight="1"/>
    <row r="3" spans="2:13" s="362" customFormat="1" ht="15.95" customHeight="1"/>
    <row r="4" spans="2:13" s="362" customFormat="1" ht="15.95" customHeight="1"/>
    <row r="5" spans="2:13" s="362" customFormat="1" ht="15.95" customHeight="1"/>
    <row r="6" spans="2:13" s="362" customFormat="1" ht="15.95" customHeight="1"/>
    <row r="7" spans="2:13" s="362" customFormat="1" ht="15.95" customHeight="1"/>
    <row r="8" spans="2:13" s="362" customFormat="1" ht="15.95" customHeight="1"/>
    <row r="9" spans="2:13" s="362" customFormat="1" ht="15.95" customHeight="1"/>
    <row r="11" spans="2:13">
      <c r="B11" s="220" t="s">
        <v>149</v>
      </c>
      <c r="C11" s="221" t="s">
        <v>19</v>
      </c>
      <c r="D11" s="221" t="s">
        <v>146</v>
      </c>
      <c r="E11" s="222" t="s">
        <v>147</v>
      </c>
      <c r="F11" s="223" t="s">
        <v>153</v>
      </c>
      <c r="G11" s="223" t="s">
        <v>44</v>
      </c>
      <c r="H11" s="226">
        <v>2015</v>
      </c>
      <c r="I11" s="226">
        <v>2016</v>
      </c>
      <c r="J11" s="226">
        <v>2017</v>
      </c>
      <c r="K11" s="226">
        <v>2018</v>
      </c>
      <c r="L11" s="226">
        <v>2019</v>
      </c>
      <c r="M11" s="226">
        <v>2020</v>
      </c>
    </row>
    <row r="12" spans="2:13">
      <c r="B12" s="224" t="s">
        <v>249</v>
      </c>
      <c r="C12" s="227">
        <f>Monthly_Imports!H13</f>
        <v>52599</v>
      </c>
      <c r="D12" s="227">
        <f>Monthly_Imports!H19</f>
        <v>49786</v>
      </c>
      <c r="E12" s="228">
        <f>Monthly_Imports!H25</f>
        <v>63233</v>
      </c>
      <c r="F12" s="229">
        <f>Monthly_Imports!$H$31</f>
        <v>80018</v>
      </c>
      <c r="G12" s="229">
        <f>Monthly_Imports!H37</f>
        <v>78111.899999999994</v>
      </c>
      <c r="H12" s="230">
        <f>Monthly_Imports!H43</f>
        <v>68886</v>
      </c>
      <c r="I12" s="230">
        <f>Monthly_Imports!H49</f>
        <v>50645</v>
      </c>
      <c r="J12" s="230">
        <f>Monthly_Imports!H55</f>
        <v>85588</v>
      </c>
      <c r="K12" s="230">
        <f>Monthly_Imports!H61</f>
        <v>97440</v>
      </c>
      <c r="L12" s="230">
        <f>Monthly_Imports!H67</f>
        <v>76305</v>
      </c>
      <c r="M12" s="230">
        <f>Monthly_Imports!H73</f>
        <v>68494</v>
      </c>
    </row>
    <row r="13" spans="2:13">
      <c r="B13" s="224" t="s">
        <v>177</v>
      </c>
      <c r="C13" s="227">
        <f>Monthly_Imports!H13+Monthly_Imports!I13</f>
        <v>123595</v>
      </c>
      <c r="D13" s="227">
        <f>D12+Monthly_Imports!I19</f>
        <v>104135</v>
      </c>
      <c r="E13" s="228">
        <f>E12+Monthly_Imports!I25</f>
        <v>112391</v>
      </c>
      <c r="F13" s="229">
        <f>F12+Monthly_Imports!I31</f>
        <v>142900</v>
      </c>
      <c r="G13" s="229">
        <f>G12+Monthly_Imports!I37</f>
        <v>133344.9</v>
      </c>
      <c r="H13" s="230">
        <f>H12+Monthly_Imports!I43</f>
        <v>135579</v>
      </c>
      <c r="I13" s="230">
        <f>I12+Monthly_Imports!I49</f>
        <v>127334</v>
      </c>
      <c r="J13" s="230">
        <f>J12+Monthly_Imports!I55</f>
        <v>156292</v>
      </c>
      <c r="K13" s="230">
        <f>K12+Monthly_Imports!I61</f>
        <v>159719</v>
      </c>
      <c r="L13" s="230">
        <f>L12+Monthly_Imports!I67</f>
        <v>146489</v>
      </c>
      <c r="M13" s="230">
        <f>M12+Monthly_Imports!I73</f>
        <v>113726</v>
      </c>
    </row>
    <row r="14" spans="2:13">
      <c r="B14" s="224" t="s">
        <v>178</v>
      </c>
      <c r="C14" s="227">
        <f>C13+Monthly_Imports!J13</f>
        <v>179539</v>
      </c>
      <c r="D14" s="227">
        <f>D13+Monthly_Imports!J19</f>
        <v>154601</v>
      </c>
      <c r="E14" s="228">
        <f>E13+Monthly_Imports!J25</f>
        <v>171783</v>
      </c>
      <c r="F14" s="229">
        <f>F13+Monthly_Imports!J31</f>
        <v>187667</v>
      </c>
      <c r="G14" s="229">
        <f>G13+Monthly_Imports!J37</f>
        <v>180556.9</v>
      </c>
      <c r="H14" s="230">
        <f>H13+Monthly_Imports!J43</f>
        <v>176479</v>
      </c>
      <c r="I14" s="230">
        <f>I13+Monthly_Imports!J49</f>
        <v>172203</v>
      </c>
      <c r="J14" s="230">
        <f>J13+Monthly_Imports!J55</f>
        <v>212625.9</v>
      </c>
      <c r="K14" s="230">
        <f>K13+Monthly_Imports!J61</f>
        <v>232903</v>
      </c>
      <c r="L14" s="230">
        <f>L13+Monthly_Imports!J67</f>
        <v>190368</v>
      </c>
      <c r="M14" s="230">
        <f>M13+Monthly_Imports!J73</f>
        <v>153426</v>
      </c>
    </row>
    <row r="15" spans="2:13">
      <c r="B15" s="224" t="s">
        <v>179</v>
      </c>
      <c r="C15" s="227">
        <f>C14+Monthly_Imports!K13</f>
        <v>223934</v>
      </c>
      <c r="D15" s="227">
        <f>D14+Monthly_Imports!K19</f>
        <v>192665</v>
      </c>
      <c r="E15" s="228">
        <f>E14+Monthly_Imports!K25</f>
        <v>225966</v>
      </c>
      <c r="F15" s="229">
        <f>F14+Monthly_Imports!K31</f>
        <v>242845</v>
      </c>
      <c r="G15" s="229">
        <f>G14+Monthly_Imports!K37</f>
        <v>229372.9</v>
      </c>
      <c r="H15" s="230">
        <f>H14+Monthly_Imports!K43</f>
        <v>252916</v>
      </c>
      <c r="I15" s="230">
        <f>I14+Monthly_Imports!K49</f>
        <v>208436</v>
      </c>
      <c r="J15" s="230">
        <f>J14+Monthly_Imports!K55</f>
        <v>260851.9</v>
      </c>
      <c r="K15" s="230">
        <f>K14+Monthly_Imports!K61</f>
        <v>280278</v>
      </c>
      <c r="L15" s="230">
        <f>L14+Monthly_Imports!K67</f>
        <v>249380</v>
      </c>
      <c r="M15" s="230">
        <f>M14+Monthly_Imports!K73</f>
        <v>191793</v>
      </c>
    </row>
    <row r="16" spans="2:13">
      <c r="B16" s="224" t="s">
        <v>180</v>
      </c>
      <c r="C16" s="227">
        <f>C15+Monthly_Imports!L13</f>
        <v>337997</v>
      </c>
      <c r="D16" s="227">
        <f>D15+Monthly_Imports!L19</f>
        <v>254719</v>
      </c>
      <c r="E16" s="228">
        <f>E15+Monthly_Imports!L25</f>
        <v>333167</v>
      </c>
      <c r="F16" s="229">
        <f>F15+Monthly_Imports!L31</f>
        <v>391351</v>
      </c>
      <c r="G16" s="229">
        <f>G15+Monthly_Imports!L37</f>
        <v>325666.90000000002</v>
      </c>
      <c r="H16" s="230">
        <f>H15+Monthly_Imports!L43</f>
        <v>328573</v>
      </c>
      <c r="I16" s="230">
        <f>I15+Monthly_Imports!$L$49</f>
        <v>284722</v>
      </c>
      <c r="J16" s="230">
        <f>J15+Monthly_Imports!L55</f>
        <v>332307.90000000002</v>
      </c>
      <c r="K16" s="230">
        <f>K15+Monthly_Imports!L61</f>
        <v>352536</v>
      </c>
      <c r="L16" s="230">
        <f>L15+Monthly_Imports!L67</f>
        <v>313598</v>
      </c>
      <c r="M16" s="230">
        <f>M15+Monthly_Imports!L73</f>
        <v>273460</v>
      </c>
    </row>
    <row r="17" spans="2:13">
      <c r="B17" s="224" t="s">
        <v>181</v>
      </c>
      <c r="C17" s="227">
        <f>C16+Monthly_Imports!M13</f>
        <v>431785</v>
      </c>
      <c r="D17" s="227">
        <f>D16+Monthly_Imports!M19</f>
        <v>336425</v>
      </c>
      <c r="E17" s="228">
        <f>E16+Monthly_Imports!M25:M25</f>
        <v>419621</v>
      </c>
      <c r="F17" s="229">
        <f>F16+Monthly_Imports!M31</f>
        <v>478441</v>
      </c>
      <c r="G17" s="229">
        <f>G16+Monthly_Imports!M37</f>
        <v>421585.9</v>
      </c>
      <c r="H17" s="230">
        <f>H16+Monthly_Imports!M43</f>
        <v>455745</v>
      </c>
      <c r="I17" s="230">
        <f>I16+Monthly_Imports!M49</f>
        <v>359246.7</v>
      </c>
      <c r="J17" s="230">
        <f>J16+Monthly_Imports!M55</f>
        <v>374621.9</v>
      </c>
      <c r="K17" s="230">
        <f>K16+Monthly_Imports!M61</f>
        <v>426138</v>
      </c>
      <c r="L17" s="230">
        <f>L16+Monthly_Imports!M67</f>
        <v>381535</v>
      </c>
      <c r="M17" s="230"/>
    </row>
    <row r="18" spans="2:13">
      <c r="B18" s="224" t="s">
        <v>182</v>
      </c>
      <c r="C18" s="227">
        <f>C17+Monthly_Imports!B19</f>
        <v>551260</v>
      </c>
      <c r="D18" s="227">
        <f>D17+Monthly_Imports!B25</f>
        <v>397867</v>
      </c>
      <c r="E18" s="228">
        <f>E17+Monthly_Imports!B31</f>
        <v>542743</v>
      </c>
      <c r="F18" s="229">
        <f>F17+Monthly_Imports!$B$37</f>
        <v>599876</v>
      </c>
      <c r="G18" s="229">
        <f>G17+Monthly_Imports!$B$43</f>
        <v>538158.9</v>
      </c>
      <c r="H18" s="230">
        <f>H17+Monthly_Imports!B49</f>
        <v>573547</v>
      </c>
      <c r="I18" s="230">
        <f>I17+Monthly_Imports!B55</f>
        <v>438581.7</v>
      </c>
      <c r="J18" s="230">
        <f>J17+Monthly_Imports!B61</f>
        <v>459837.9</v>
      </c>
      <c r="K18" s="230">
        <f>K17+Monthly_Imports!B67</f>
        <v>509241</v>
      </c>
      <c r="L18" s="230">
        <f>L17+Monthly_Imports!B73</f>
        <v>475885</v>
      </c>
      <c r="M18" s="230"/>
    </row>
    <row r="19" spans="2:13">
      <c r="B19" s="224" t="s">
        <v>108</v>
      </c>
      <c r="C19" s="227">
        <f>C18+Monthly_Imports!C19</f>
        <v>702808</v>
      </c>
      <c r="D19" s="227">
        <f>D18+Monthly_Imports!C25</f>
        <v>528655</v>
      </c>
      <c r="E19" s="228">
        <f>E18+Monthly_Imports!C31</f>
        <v>677346</v>
      </c>
      <c r="F19" s="229">
        <f>F18+Monthly_Imports!$C$37</f>
        <v>726258</v>
      </c>
      <c r="G19" s="229">
        <f>G18+Monthly_Imports!C43</f>
        <v>673344.9</v>
      </c>
      <c r="H19" s="230">
        <f>H18+Monthly_Imports!C49</f>
        <v>712658</v>
      </c>
      <c r="I19" s="230">
        <f>I18+Monthly_Imports!C55</f>
        <v>580202.69999999995</v>
      </c>
      <c r="J19" s="230">
        <f>J18+Monthly_Imports!C61</f>
        <v>583258.9</v>
      </c>
      <c r="K19" s="230">
        <f>K18+Monthly_Imports!C67</f>
        <v>635110</v>
      </c>
      <c r="L19" s="230">
        <f>L18+Monthly_Imports!C73</f>
        <v>590369</v>
      </c>
      <c r="M19" s="230"/>
    </row>
    <row r="20" spans="2:13">
      <c r="B20" s="224" t="s">
        <v>109</v>
      </c>
      <c r="C20" s="227">
        <f>C19+Monthly_Imports!D19</f>
        <v>883498</v>
      </c>
      <c r="D20" s="227">
        <f>D19+Monthly_Imports!D25</f>
        <v>696109</v>
      </c>
      <c r="E20" s="228">
        <f>E19+Monthly_Imports!D31</f>
        <v>849809</v>
      </c>
      <c r="F20" s="229">
        <f>F19+Monthly_Imports!$D$37</f>
        <v>886529</v>
      </c>
      <c r="G20" s="229">
        <f>G19+Monthly_Imports!D43</f>
        <v>844222.9</v>
      </c>
      <c r="H20" s="230">
        <f>H19+Monthly_Imports!D49</f>
        <v>890602</v>
      </c>
      <c r="I20" s="230">
        <f>I19+Monthly_Imports!$D$55</f>
        <v>707036.7</v>
      </c>
      <c r="J20" s="230">
        <f>J19+Monthly_Imports!D61</f>
        <v>725804.9</v>
      </c>
      <c r="K20" s="230">
        <f>K19+Monthly_Imports!D67</f>
        <v>768848</v>
      </c>
      <c r="L20" s="230">
        <f>L19+Monthly_Imports!D73</f>
        <v>729657</v>
      </c>
      <c r="M20" s="230"/>
    </row>
    <row r="21" spans="2:13">
      <c r="B21" s="224" t="s">
        <v>110</v>
      </c>
      <c r="C21" s="227">
        <f>C20+Monthly_Imports!E19</f>
        <v>1048780</v>
      </c>
      <c r="D21" s="227">
        <f>D20+Monthly_Imports!E25</f>
        <v>831694</v>
      </c>
      <c r="E21" s="228">
        <f>E20+Monthly_Imports!$E$31</f>
        <v>1040375</v>
      </c>
      <c r="F21" s="229">
        <f>F20+Monthly_Imports!E37</f>
        <v>1039380</v>
      </c>
      <c r="G21" s="229">
        <f>G20+Monthly_Imports!$E$43</f>
        <v>1074001.8999999999</v>
      </c>
      <c r="H21" s="230">
        <f>H20+Monthly_Imports!E49</f>
        <v>1102851</v>
      </c>
      <c r="I21" s="230">
        <f>I20+Monthly_Imports!E55</f>
        <v>874845.7</v>
      </c>
      <c r="J21" s="230">
        <f>J20+Monthly_Imports!E61</f>
        <v>920285.9</v>
      </c>
      <c r="K21" s="230">
        <f>K20+Monthly_Imports!E67</f>
        <v>947768</v>
      </c>
      <c r="L21" s="230">
        <f>L20+Monthly_Imports!E73</f>
        <v>932414</v>
      </c>
      <c r="M21" s="230"/>
    </row>
    <row r="22" spans="2:13">
      <c r="B22" s="224" t="s">
        <v>111</v>
      </c>
      <c r="C22" s="227">
        <f>C21+Monthly_Imports!F19</f>
        <v>1226674</v>
      </c>
      <c r="D22" s="227">
        <f>D21+Monthly_Imports!F25</f>
        <v>988189</v>
      </c>
      <c r="E22" s="228">
        <f>E21+Monthly_Imports!F31</f>
        <v>1228159</v>
      </c>
      <c r="F22" s="229">
        <f>F21+Monthly_Imports!F37</f>
        <v>1254782</v>
      </c>
      <c r="G22" s="229">
        <f>G21+Monthly_Imports!$F$43</f>
        <v>1266808.8999999999</v>
      </c>
      <c r="H22" s="230">
        <f>H21+Monthly_Imports!F49</f>
        <v>1300647</v>
      </c>
      <c r="I22" s="230">
        <f>I21+Monthly_Imports!F55</f>
        <v>1066722.7</v>
      </c>
      <c r="J22" s="230">
        <f>J21+Monthly_Imports!F61</f>
        <v>1125570.8999999999</v>
      </c>
      <c r="K22" s="230">
        <f>K21+Monthly_Imports!F67</f>
        <v>1094299</v>
      </c>
      <c r="L22" s="230">
        <f>L21+Monthly_Imports!F73</f>
        <v>1086921</v>
      </c>
      <c r="M22" s="230"/>
    </row>
    <row r="23" spans="2:13">
      <c r="B23" s="225" t="s">
        <v>18</v>
      </c>
      <c r="C23" s="231">
        <f>C22+Monthly_Imports!G19</f>
        <v>1313446</v>
      </c>
      <c r="D23" s="231">
        <f>D22+Monthly_Imports!G25</f>
        <v>1083516</v>
      </c>
      <c r="E23" s="232">
        <f>E22+Monthly_Imports!$G$31</f>
        <v>1357593</v>
      </c>
      <c r="F23" s="233">
        <f>Monthly_Imports!G37+'Cumulative monthly imports'!F22</f>
        <v>1365864</v>
      </c>
      <c r="G23" s="233">
        <f>G22+Monthly_Imports!G43</f>
        <v>1385665.9</v>
      </c>
      <c r="H23" s="230">
        <f>H22+Monthly_Imports!G49</f>
        <v>1378575</v>
      </c>
      <c r="I23" s="230">
        <f>I22+Monthly_Imports!G55</f>
        <v>1162408.7</v>
      </c>
      <c r="J23" s="230">
        <f>J22+Monthly_Imports!$G$61</f>
        <v>1227196.8999999999</v>
      </c>
      <c r="K23" s="230">
        <f>K22+Monthly_Imports!G67</f>
        <v>1176828</v>
      </c>
      <c r="L23" s="230">
        <f>L22+Monthly_Imports!G73</f>
        <v>1179508</v>
      </c>
      <c r="M23" s="230"/>
    </row>
  </sheetData>
  <mergeCells count="1">
    <mergeCell ref="A1:XFD9"/>
  </mergeCells>
  <phoneticPr fontId="3" type="noConversion"/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C24"/>
  <sheetViews>
    <sheetView workbookViewId="0">
      <selection activeCell="N27" sqref="N27"/>
    </sheetView>
  </sheetViews>
  <sheetFormatPr defaultColWidth="11.140625" defaultRowHeight="12"/>
  <cols>
    <col min="1" max="16384" width="11.140625" style="139"/>
  </cols>
  <sheetData>
    <row r="1" spans="2:3" s="362" customFormat="1" ht="12.75"/>
    <row r="2" spans="2:3" s="362" customFormat="1" ht="12.75"/>
    <row r="3" spans="2:3" s="362" customFormat="1" ht="12.75"/>
    <row r="4" spans="2:3" s="362" customFormat="1" ht="12.75"/>
    <row r="5" spans="2:3" s="362" customFormat="1" ht="12.75"/>
    <row r="6" spans="2:3" s="362" customFormat="1" ht="12.75"/>
    <row r="7" spans="2:3" s="362" customFormat="1" ht="12.75"/>
    <row r="8" spans="2:3" s="362" customFormat="1" ht="12.75"/>
    <row r="9" spans="2:3" s="362" customFormat="1" ht="12.75"/>
    <row r="11" spans="2:3">
      <c r="B11" s="189" t="s">
        <v>151</v>
      </c>
      <c r="C11" s="189" t="s">
        <v>152</v>
      </c>
    </row>
    <row r="12" spans="2:3">
      <c r="B12" s="290" t="s">
        <v>295</v>
      </c>
      <c r="C12" s="291">
        <f>'Import Value Qtr'!N23</f>
        <v>126.94252492363205</v>
      </c>
    </row>
    <row r="13" spans="2:3">
      <c r="B13" s="290" t="s">
        <v>296</v>
      </c>
      <c r="C13" s="291">
        <f>'Import Value Qtr'!N27</f>
        <v>121.32686636525133</v>
      </c>
    </row>
    <row r="14" spans="2:3">
      <c r="B14" s="290" t="s">
        <v>297</v>
      </c>
      <c r="C14" s="291">
        <f>'Import Value Qtr'!N33</f>
        <v>168.05995550552998</v>
      </c>
    </row>
    <row r="15" spans="2:3">
      <c r="B15" s="290" t="s">
        <v>298</v>
      </c>
      <c r="C15" s="291">
        <f>'Import Value Qtr'!N37</f>
        <v>146.94523353094871</v>
      </c>
    </row>
    <row r="16" spans="2:3">
      <c r="B16" s="290" t="s">
        <v>299</v>
      </c>
      <c r="C16" s="291">
        <f>'Import Value Qtr'!N41</f>
        <v>175.37036753346709</v>
      </c>
    </row>
    <row r="17" spans="2:3">
      <c r="B17" s="290" t="s">
        <v>300</v>
      </c>
      <c r="C17" s="291">
        <f>'Import Value Qtr'!N45</f>
        <v>160.00796510987246</v>
      </c>
    </row>
    <row r="18" spans="2:3">
      <c r="B18" s="290" t="s">
        <v>301</v>
      </c>
      <c r="C18" s="291">
        <f>'Import Value Qtr'!N49</f>
        <v>172.95715589282534</v>
      </c>
    </row>
    <row r="19" spans="2:3">
      <c r="B19" s="290" t="s">
        <v>284</v>
      </c>
      <c r="C19" s="291">
        <f>'Import Value Qtr'!N53</f>
        <v>181.97439761561571</v>
      </c>
    </row>
    <row r="20" spans="2:3">
      <c r="B20" s="290" t="s">
        <v>302</v>
      </c>
      <c r="C20" s="291">
        <f>'Import Value Qtr'!N57</f>
        <v>208.96023618591664</v>
      </c>
    </row>
    <row r="21" spans="2:3">
      <c r="B21" s="290" t="s">
        <v>303</v>
      </c>
      <c r="C21" s="291">
        <f>'Import Value Qtr'!N61</f>
        <v>213.79917664071166</v>
      </c>
    </row>
    <row r="22" spans="2:3">
      <c r="B22" s="290" t="s">
        <v>304</v>
      </c>
      <c r="C22" s="291">
        <f>'Import Value Qtr'!N63</f>
        <v>215.90318378269563</v>
      </c>
    </row>
    <row r="23" spans="2:3">
      <c r="B23" s="292" t="s">
        <v>311</v>
      </c>
      <c r="C23" s="293">
        <f>'Import Value Qtr'!N67</f>
        <v>203.44208407822234</v>
      </c>
    </row>
    <row r="24" spans="2:3">
      <c r="B24" s="292" t="s">
        <v>315</v>
      </c>
      <c r="C24" s="293">
        <f>('Import Value Qtr'!N69+'Import Value Qtr'!N71)/2</f>
        <v>213.88674431584536</v>
      </c>
    </row>
  </sheetData>
  <mergeCells count="1">
    <mergeCell ref="A1:XFD9"/>
  </mergeCells>
  <phoneticPr fontId="3" type="noConversion"/>
  <pageMargins left="0.7" right="0.7" top="0.75" bottom="0.75" header="0.5" footer="0.5"/>
  <pageSetup paperSize="10" orientation="portrait" horizontalDpi="4294967292" verticalDpi="429496729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O82"/>
  <sheetViews>
    <sheetView topLeftCell="CF7" workbookViewId="0">
      <selection activeCell="CQ29" sqref="CQ29"/>
    </sheetView>
  </sheetViews>
  <sheetFormatPr defaultColWidth="8.85546875" defaultRowHeight="12"/>
  <cols>
    <col min="1" max="1" width="31.42578125" style="199" customWidth="1"/>
    <col min="2" max="2" width="11.42578125" style="199" customWidth="1"/>
    <col min="3" max="8" width="11.7109375" style="199" customWidth="1"/>
    <col min="9" max="9" width="11.42578125" style="199" customWidth="1"/>
    <col min="10" max="13" width="11.7109375" style="199" customWidth="1"/>
    <col min="14" max="16" width="11.42578125" style="199" customWidth="1"/>
    <col min="17" max="17" width="13" style="199" customWidth="1"/>
    <col min="18" max="18" width="14" style="199" customWidth="1"/>
    <col min="19" max="23" width="11.7109375" style="199" customWidth="1"/>
    <col min="24" max="24" width="11.42578125" style="199" customWidth="1"/>
    <col min="25" max="29" width="11.7109375" style="199" customWidth="1"/>
    <col min="30" max="31" width="11.42578125" style="199" customWidth="1"/>
    <col min="32" max="38" width="11.7109375" style="199" customWidth="1"/>
    <col min="39" max="40" width="11.7109375" style="200" customWidth="1"/>
    <col min="41" max="46" width="11.7109375" style="199" customWidth="1"/>
    <col min="47" max="47" width="11.7109375" style="201" customWidth="1"/>
    <col min="48" max="48" width="11.7109375" style="199" customWidth="1"/>
    <col min="49" max="49" width="11.42578125" style="199" customWidth="1"/>
    <col min="50" max="50" width="12" style="199" customWidth="1"/>
    <col min="51" max="91" width="11.42578125" style="27" customWidth="1"/>
    <col min="92" max="92" width="41.140625" style="27" customWidth="1"/>
    <col min="93" max="93" width="11.85546875" style="27" customWidth="1"/>
    <col min="94" max="16384" width="8.85546875" style="199"/>
  </cols>
  <sheetData>
    <row r="1" spans="1:93" s="162" customFormat="1">
      <c r="AM1" s="193"/>
      <c r="AN1" s="193"/>
      <c r="AU1" s="234"/>
      <c r="AX1" s="161"/>
    </row>
    <row r="2" spans="1:93" s="162" customFormat="1">
      <c r="A2" s="235"/>
      <c r="I2" s="194"/>
      <c r="J2" s="194"/>
      <c r="K2" s="194"/>
      <c r="AL2" s="161"/>
      <c r="AM2" s="193"/>
      <c r="AN2" s="193"/>
      <c r="AU2" s="234"/>
      <c r="AY2" s="161"/>
      <c r="AZ2" s="161"/>
      <c r="BA2" s="161"/>
      <c r="BB2" s="161"/>
      <c r="BC2" s="161"/>
      <c r="BD2" s="161"/>
      <c r="BE2" s="161"/>
      <c r="BF2" s="161"/>
      <c r="BG2" s="161"/>
      <c r="BH2" s="161"/>
      <c r="BI2" s="161"/>
      <c r="BJ2" s="161"/>
      <c r="BK2" s="161"/>
      <c r="BL2" s="161"/>
      <c r="BM2" s="161"/>
      <c r="BN2" s="161"/>
      <c r="BO2" s="161"/>
      <c r="BP2" s="161"/>
      <c r="BQ2" s="161"/>
      <c r="BR2" s="161"/>
      <c r="BS2" s="161"/>
      <c r="BT2" s="161"/>
      <c r="BU2" s="161"/>
      <c r="BV2" s="161"/>
      <c r="BW2" s="161"/>
      <c r="BX2" s="161"/>
      <c r="BY2" s="161"/>
      <c r="BZ2" s="161"/>
      <c r="CA2" s="161"/>
      <c r="CB2" s="161"/>
      <c r="CC2" s="161"/>
      <c r="CD2" s="161"/>
      <c r="CE2" s="161"/>
      <c r="CF2" s="161"/>
      <c r="CG2" s="161"/>
      <c r="CH2" s="161"/>
      <c r="CI2" s="161"/>
      <c r="CJ2" s="161"/>
      <c r="CK2" s="161"/>
      <c r="CL2" s="161"/>
      <c r="CM2" s="161"/>
      <c r="CN2" s="161"/>
      <c r="CO2" s="161"/>
    </row>
    <row r="3" spans="1:93" s="162" customFormat="1" ht="15.75" customHeight="1">
      <c r="A3" s="236"/>
      <c r="B3" s="195"/>
      <c r="C3" s="195"/>
      <c r="D3" s="195"/>
      <c r="E3" s="195"/>
      <c r="F3" s="195"/>
      <c r="G3" s="195"/>
      <c r="H3" s="195"/>
      <c r="I3" s="195"/>
      <c r="J3" s="195"/>
      <c r="K3" s="195"/>
      <c r="AL3" s="161"/>
      <c r="AM3" s="193"/>
      <c r="AN3" s="193"/>
      <c r="AU3" s="234"/>
      <c r="AY3" s="161"/>
      <c r="AZ3" s="161"/>
      <c r="BA3" s="161"/>
      <c r="BB3" s="161"/>
      <c r="BC3" s="161"/>
      <c r="BD3" s="161"/>
      <c r="BE3" s="161"/>
      <c r="BF3" s="161"/>
      <c r="BG3" s="161"/>
      <c r="BH3" s="161"/>
      <c r="BI3" s="161"/>
      <c r="BJ3" s="161"/>
      <c r="BK3" s="161"/>
      <c r="BL3" s="161"/>
      <c r="BM3" s="161"/>
      <c r="BN3" s="161"/>
      <c r="BO3" s="161"/>
      <c r="BP3" s="161"/>
      <c r="BQ3" s="161"/>
      <c r="BR3" s="161"/>
      <c r="BS3" s="161"/>
      <c r="BT3" s="161"/>
      <c r="BU3" s="161"/>
      <c r="BV3" s="161"/>
      <c r="BW3" s="161"/>
      <c r="BX3" s="161"/>
      <c r="BY3" s="161"/>
      <c r="BZ3" s="161"/>
      <c r="CA3" s="161"/>
      <c r="CB3" s="161"/>
      <c r="CC3" s="161"/>
      <c r="CD3" s="161"/>
      <c r="CE3" s="161"/>
      <c r="CF3" s="161"/>
      <c r="CG3" s="161"/>
      <c r="CH3" s="161"/>
      <c r="CI3" s="161"/>
      <c r="CJ3" s="161"/>
      <c r="CK3" s="161"/>
      <c r="CL3" s="161"/>
      <c r="CM3" s="161"/>
      <c r="CN3" s="161"/>
      <c r="CO3" s="161"/>
    </row>
    <row r="4" spans="1:93" s="162" customFormat="1" ht="22.5" customHeight="1">
      <c r="A4" s="368" t="s">
        <v>273</v>
      </c>
      <c r="B4" s="368"/>
      <c r="C4" s="368"/>
      <c r="D4" s="368"/>
      <c r="E4" s="368"/>
      <c r="F4" s="368"/>
      <c r="G4" s="368"/>
      <c r="H4" s="368"/>
      <c r="I4" s="368"/>
      <c r="J4" s="195"/>
      <c r="K4" s="195"/>
      <c r="AL4" s="161"/>
      <c r="AM4" s="193"/>
      <c r="AN4" s="193"/>
      <c r="AU4" s="234"/>
      <c r="AY4" s="161"/>
      <c r="AZ4" s="161"/>
      <c r="BA4" s="161"/>
      <c r="BB4" s="161"/>
      <c r="BC4" s="161"/>
      <c r="BD4" s="161"/>
      <c r="BE4" s="161"/>
      <c r="BF4" s="161"/>
      <c r="BG4" s="161"/>
      <c r="BH4" s="161"/>
      <c r="BI4" s="161"/>
      <c r="BJ4" s="161"/>
      <c r="BK4" s="161"/>
      <c r="BL4" s="161"/>
      <c r="BM4" s="161"/>
      <c r="BN4" s="161"/>
      <c r="BO4" s="161"/>
      <c r="BP4" s="161"/>
      <c r="BQ4" s="161"/>
      <c r="BR4" s="161"/>
      <c r="BS4" s="161"/>
      <c r="BT4" s="161"/>
      <c r="BU4" s="161"/>
      <c r="BV4" s="161"/>
      <c r="BW4" s="161"/>
      <c r="BX4" s="161"/>
      <c r="BY4" s="161"/>
      <c r="BZ4" s="161"/>
      <c r="CA4" s="161"/>
      <c r="CB4" s="161"/>
      <c r="CC4" s="161"/>
      <c r="CD4" s="161"/>
      <c r="CE4" s="161"/>
      <c r="CF4" s="161"/>
      <c r="CG4" s="161"/>
      <c r="CH4" s="161"/>
      <c r="CI4" s="161"/>
      <c r="CJ4" s="161"/>
      <c r="CK4" s="161"/>
      <c r="CL4" s="161"/>
      <c r="CM4" s="161"/>
      <c r="CN4" s="161"/>
      <c r="CO4" s="161"/>
    </row>
    <row r="5" spans="1:93" s="162" customFormat="1" ht="15" customHeight="1">
      <c r="A5" s="236"/>
      <c r="B5" s="195"/>
      <c r="C5" s="195"/>
      <c r="D5" s="195"/>
      <c r="E5" s="195"/>
      <c r="F5" s="195"/>
      <c r="G5" s="195"/>
      <c r="H5" s="195"/>
      <c r="I5" s="195"/>
      <c r="J5" s="195"/>
      <c r="K5" s="195"/>
      <c r="AL5" s="161"/>
      <c r="AM5" s="193"/>
      <c r="AN5" s="193"/>
      <c r="AU5" s="234"/>
      <c r="AY5" s="161"/>
      <c r="AZ5" s="161"/>
      <c r="BA5" s="161"/>
      <c r="BB5" s="161"/>
      <c r="BC5" s="161"/>
      <c r="BD5" s="161"/>
      <c r="BE5" s="161"/>
      <c r="BF5" s="161"/>
      <c r="BG5" s="161"/>
      <c r="BH5" s="161"/>
      <c r="BI5" s="161"/>
      <c r="BJ5" s="161"/>
      <c r="BK5" s="161"/>
      <c r="BL5" s="161"/>
      <c r="BM5" s="161"/>
      <c r="BN5" s="161"/>
      <c r="BO5" s="161"/>
      <c r="BP5" s="161"/>
      <c r="BQ5" s="161"/>
      <c r="BR5" s="161"/>
      <c r="BS5" s="161"/>
      <c r="BT5" s="161"/>
      <c r="BU5" s="161"/>
      <c r="BV5" s="161"/>
      <c r="BW5" s="161"/>
      <c r="BX5" s="161"/>
      <c r="BY5" s="161"/>
      <c r="BZ5" s="161"/>
      <c r="CA5" s="161"/>
      <c r="CB5" s="161"/>
      <c r="CC5" s="161"/>
      <c r="CD5" s="161"/>
      <c r="CE5" s="161"/>
      <c r="CF5" s="161"/>
      <c r="CG5" s="161"/>
      <c r="CH5" s="161"/>
      <c r="CI5" s="161"/>
      <c r="CJ5" s="161"/>
      <c r="CK5" s="161"/>
      <c r="CL5" s="161"/>
      <c r="CM5" s="161"/>
      <c r="CN5" s="161"/>
      <c r="CO5" s="161"/>
    </row>
    <row r="6" spans="1:93" s="162" customFormat="1" ht="15.75" customHeight="1">
      <c r="A6" s="236"/>
      <c r="B6" s="195"/>
      <c r="C6" s="195"/>
      <c r="D6" s="195"/>
      <c r="E6" s="195"/>
      <c r="F6" s="195"/>
      <c r="G6" s="195"/>
      <c r="H6" s="195"/>
      <c r="I6" s="195"/>
      <c r="J6" s="195"/>
      <c r="K6" s="195"/>
      <c r="AL6" s="161"/>
      <c r="AM6" s="193"/>
      <c r="AN6" s="193"/>
      <c r="AU6" s="234"/>
      <c r="AY6" s="161"/>
      <c r="AZ6" s="161"/>
      <c r="BA6" s="161"/>
      <c r="BB6" s="161"/>
      <c r="BC6" s="161"/>
      <c r="BD6" s="161"/>
      <c r="BE6" s="161"/>
      <c r="BF6" s="161"/>
      <c r="BG6" s="161"/>
      <c r="BH6" s="161"/>
      <c r="BI6" s="161"/>
      <c r="BJ6" s="161"/>
      <c r="BK6" s="161"/>
      <c r="BL6" s="161"/>
      <c r="BM6" s="161"/>
      <c r="BN6" s="161"/>
      <c r="BO6" s="161"/>
      <c r="BP6" s="161"/>
      <c r="BQ6" s="161"/>
      <c r="BR6" s="161"/>
      <c r="BS6" s="161"/>
      <c r="BT6" s="161"/>
      <c r="BU6" s="161"/>
      <c r="BV6" s="161"/>
      <c r="BW6" s="161"/>
      <c r="BX6" s="161"/>
      <c r="BY6" s="161"/>
      <c r="BZ6" s="161"/>
      <c r="CA6" s="161"/>
      <c r="CB6" s="161"/>
      <c r="CC6" s="161"/>
      <c r="CD6" s="161"/>
      <c r="CE6" s="161"/>
      <c r="CF6" s="161"/>
      <c r="CG6" s="161"/>
      <c r="CH6" s="161"/>
      <c r="CI6" s="161"/>
      <c r="CJ6" s="161"/>
      <c r="CK6" s="161"/>
      <c r="CL6" s="161"/>
      <c r="CM6" s="161"/>
      <c r="CN6" s="161"/>
      <c r="CO6" s="161"/>
    </row>
    <row r="7" spans="1:93" s="162" customFormat="1">
      <c r="A7" s="236"/>
      <c r="B7" s="237"/>
      <c r="C7" s="237"/>
      <c r="D7" s="237"/>
      <c r="AM7" s="193"/>
      <c r="AN7" s="193"/>
      <c r="AU7" s="234"/>
      <c r="AY7" s="238"/>
      <c r="AZ7" s="161"/>
      <c r="BA7" s="161"/>
      <c r="BB7" s="161"/>
      <c r="BC7" s="161"/>
      <c r="BD7" s="161"/>
      <c r="BE7" s="161"/>
      <c r="BF7" s="161"/>
      <c r="BG7" s="161"/>
      <c r="BH7" s="161"/>
      <c r="BI7" s="161"/>
      <c r="BJ7" s="161"/>
      <c r="BK7" s="161"/>
      <c r="BL7" s="161"/>
      <c r="BM7" s="161"/>
      <c r="BN7" s="161"/>
      <c r="BO7" s="161"/>
      <c r="BP7" s="161"/>
      <c r="BQ7" s="161"/>
      <c r="BR7" s="161"/>
      <c r="BS7" s="161"/>
      <c r="BT7" s="161"/>
      <c r="BU7" s="161"/>
      <c r="BV7" s="161"/>
      <c r="BW7" s="161"/>
      <c r="BX7" s="161"/>
      <c r="BY7" s="161"/>
      <c r="BZ7" s="161"/>
      <c r="CA7" s="161"/>
      <c r="CB7" s="161"/>
      <c r="CC7" s="161"/>
      <c r="CD7" s="161"/>
      <c r="CE7" s="161"/>
      <c r="CF7" s="161"/>
      <c r="CG7" s="161"/>
      <c r="CH7" s="161"/>
      <c r="CI7" s="161"/>
      <c r="CJ7" s="161"/>
      <c r="CK7" s="161"/>
      <c r="CL7" s="161"/>
      <c r="CM7" s="161"/>
      <c r="CN7" s="161"/>
      <c r="CO7" s="161"/>
    </row>
    <row r="8" spans="1:93" s="245" customFormat="1">
      <c r="A8" s="239" t="s">
        <v>189</v>
      </c>
      <c r="B8" s="240">
        <v>35765</v>
      </c>
      <c r="C8" s="241">
        <v>35855</v>
      </c>
      <c r="D8" s="241">
        <v>35947</v>
      </c>
      <c r="E8" s="241">
        <v>36039</v>
      </c>
      <c r="F8" s="241">
        <v>36130</v>
      </c>
      <c r="G8" s="241">
        <v>36220</v>
      </c>
      <c r="H8" s="241">
        <v>36312</v>
      </c>
      <c r="I8" s="241">
        <v>36404</v>
      </c>
      <c r="J8" s="241">
        <v>36495</v>
      </c>
      <c r="K8" s="241">
        <v>36586</v>
      </c>
      <c r="L8" s="241">
        <v>36678</v>
      </c>
      <c r="M8" s="241">
        <v>36770</v>
      </c>
      <c r="N8" s="241">
        <v>36861</v>
      </c>
      <c r="O8" s="241">
        <v>36951</v>
      </c>
      <c r="P8" s="241">
        <v>37043</v>
      </c>
      <c r="Q8" s="241">
        <v>37135</v>
      </c>
      <c r="R8" s="241">
        <v>37226</v>
      </c>
      <c r="S8" s="241">
        <v>37316</v>
      </c>
      <c r="T8" s="241">
        <v>37408</v>
      </c>
      <c r="U8" s="241">
        <v>37500</v>
      </c>
      <c r="V8" s="241">
        <v>37591</v>
      </c>
      <c r="W8" s="241">
        <v>37681</v>
      </c>
      <c r="X8" s="241">
        <v>37773</v>
      </c>
      <c r="Y8" s="241">
        <v>37865</v>
      </c>
      <c r="Z8" s="241">
        <v>37956</v>
      </c>
      <c r="AA8" s="241">
        <v>38047</v>
      </c>
      <c r="AB8" s="241">
        <v>38139</v>
      </c>
      <c r="AC8" s="241">
        <v>38231</v>
      </c>
      <c r="AD8" s="241">
        <v>38352</v>
      </c>
      <c r="AE8" s="241">
        <v>38437</v>
      </c>
      <c r="AF8" s="241">
        <v>38529</v>
      </c>
      <c r="AG8" s="242" t="s">
        <v>190</v>
      </c>
      <c r="AH8" s="242" t="s">
        <v>191</v>
      </c>
      <c r="AI8" s="242" t="s">
        <v>192</v>
      </c>
      <c r="AJ8" s="242" t="s">
        <v>193</v>
      </c>
      <c r="AK8" s="241" t="s">
        <v>194</v>
      </c>
      <c r="AL8" s="242" t="s">
        <v>195</v>
      </c>
      <c r="AM8" s="242" t="s">
        <v>15</v>
      </c>
      <c r="AN8" s="242" t="s">
        <v>16</v>
      </c>
      <c r="AO8" s="243" t="s">
        <v>17</v>
      </c>
      <c r="AP8" s="243" t="s">
        <v>87</v>
      </c>
      <c r="AQ8" s="243" t="s">
        <v>88</v>
      </c>
      <c r="AR8" s="243" t="s">
        <v>89</v>
      </c>
      <c r="AS8" s="243" t="s">
        <v>156</v>
      </c>
      <c r="AT8" s="243" t="s">
        <v>157</v>
      </c>
      <c r="AU8" s="242" t="s">
        <v>186</v>
      </c>
      <c r="AV8" s="243" t="s">
        <v>187</v>
      </c>
      <c r="AW8" s="243" t="s">
        <v>136</v>
      </c>
      <c r="AX8" s="243" t="s">
        <v>8</v>
      </c>
      <c r="AY8" s="242" t="s">
        <v>285</v>
      </c>
      <c r="AZ8" s="242" t="s">
        <v>80</v>
      </c>
      <c r="BA8" s="242" t="s">
        <v>91</v>
      </c>
      <c r="BB8" s="242" t="s">
        <v>92</v>
      </c>
      <c r="BC8" s="242" t="s">
        <v>129</v>
      </c>
      <c r="BD8" s="242" t="s">
        <v>28</v>
      </c>
      <c r="BE8" s="242" t="s">
        <v>238</v>
      </c>
      <c r="BF8" s="242" t="s">
        <v>240</v>
      </c>
      <c r="BG8" s="242" t="s">
        <v>241</v>
      </c>
      <c r="BH8" s="242" t="s">
        <v>242</v>
      </c>
      <c r="BI8" s="242" t="s">
        <v>148</v>
      </c>
      <c r="BJ8" s="242" t="s">
        <v>150</v>
      </c>
      <c r="BK8" s="242" t="s">
        <v>154</v>
      </c>
      <c r="BL8" s="242" t="s">
        <v>141</v>
      </c>
      <c r="BM8" s="242" t="s">
        <v>3</v>
      </c>
      <c r="BN8" s="242" t="s">
        <v>140</v>
      </c>
      <c r="BO8" s="242" t="s">
        <v>133</v>
      </c>
      <c r="BP8" s="242" t="s">
        <v>269</v>
      </c>
      <c r="BQ8" s="242" t="s">
        <v>39</v>
      </c>
      <c r="BR8" s="242" t="s">
        <v>213</v>
      </c>
      <c r="BS8" s="242" t="s">
        <v>114</v>
      </c>
      <c r="BT8" s="242" t="s">
        <v>2</v>
      </c>
      <c r="BU8" s="242" t="s">
        <v>107</v>
      </c>
      <c r="BV8" s="242" t="s">
        <v>45</v>
      </c>
      <c r="BW8" s="242" t="s">
        <v>103</v>
      </c>
      <c r="BX8" s="242" t="s">
        <v>23</v>
      </c>
      <c r="BY8" s="242" t="s">
        <v>139</v>
      </c>
      <c r="BZ8" s="242" t="s">
        <v>33</v>
      </c>
      <c r="CA8" s="242" t="s">
        <v>68</v>
      </c>
      <c r="CB8" s="242" t="s">
        <v>69</v>
      </c>
      <c r="CC8" s="242" t="s">
        <v>60</v>
      </c>
      <c r="CD8" s="242" t="s">
        <v>307</v>
      </c>
      <c r="CE8" s="242" t="s">
        <v>310</v>
      </c>
      <c r="CF8" s="242" t="s">
        <v>312</v>
      </c>
      <c r="CG8" s="242" t="s">
        <v>314</v>
      </c>
      <c r="CH8" s="242" t="s">
        <v>316</v>
      </c>
      <c r="CI8" s="242" t="s">
        <v>318</v>
      </c>
      <c r="CJ8" s="242" t="s">
        <v>319</v>
      </c>
      <c r="CK8" s="242" t="s">
        <v>325</v>
      </c>
      <c r="CL8" s="242" t="s">
        <v>328</v>
      </c>
      <c r="CM8" s="242" t="s">
        <v>329</v>
      </c>
      <c r="CN8" s="244"/>
      <c r="CO8" s="180">
        <f>CI9+CJ9+CK9+CL9</f>
        <v>423573</v>
      </c>
    </row>
    <row r="9" spans="1:93" s="170" customFormat="1">
      <c r="A9" s="174" t="s">
        <v>57</v>
      </c>
      <c r="B9" s="170">
        <v>121628.5</v>
      </c>
      <c r="C9" s="170">
        <v>34951.699999999997</v>
      </c>
      <c r="D9" s="170">
        <v>20618.5</v>
      </c>
      <c r="E9" s="170">
        <v>124921.3</v>
      </c>
      <c r="F9" s="170">
        <v>108765.3</v>
      </c>
      <c r="G9" s="170">
        <v>37820.300000000003</v>
      </c>
      <c r="H9" s="170">
        <v>55902</v>
      </c>
      <c r="I9" s="170">
        <v>183419.6</v>
      </c>
      <c r="J9" s="170">
        <v>127619.1</v>
      </c>
      <c r="K9" s="170">
        <v>36367.1</v>
      </c>
      <c r="L9" s="170">
        <v>61235.3</v>
      </c>
      <c r="M9" s="170">
        <v>119560.7</v>
      </c>
      <c r="N9" s="170">
        <v>212916.2</v>
      </c>
      <c r="O9" s="170">
        <v>25041.8</v>
      </c>
      <c r="P9" s="170">
        <v>30237.200000000001</v>
      </c>
      <c r="Q9" s="170">
        <v>130637.5</v>
      </c>
      <c r="R9" s="170">
        <v>85994.3</v>
      </c>
      <c r="S9" s="170">
        <v>22666</v>
      </c>
      <c r="T9" s="170">
        <v>30509.5</v>
      </c>
      <c r="U9" s="170">
        <v>96530</v>
      </c>
      <c r="V9" s="170">
        <v>110152</v>
      </c>
      <c r="W9" s="170">
        <v>40793.9</v>
      </c>
      <c r="X9" s="170">
        <v>84911.4</v>
      </c>
      <c r="Y9" s="170">
        <v>145119.79999999999</v>
      </c>
      <c r="Z9" s="170">
        <v>152186.29999999999</v>
      </c>
      <c r="AA9" s="170">
        <v>42084</v>
      </c>
      <c r="AB9" s="170">
        <v>92211.7</v>
      </c>
      <c r="AC9" s="170">
        <v>145858</v>
      </c>
      <c r="AD9" s="170">
        <v>158676</v>
      </c>
      <c r="AE9" s="170">
        <v>19770</v>
      </c>
      <c r="AF9" s="170">
        <v>70539</v>
      </c>
      <c r="AG9" s="173">
        <v>128804</v>
      </c>
      <c r="AH9" s="173">
        <v>98749</v>
      </c>
      <c r="AI9" s="170">
        <v>43128</v>
      </c>
      <c r="AJ9" s="170">
        <v>115936</v>
      </c>
      <c r="AK9" s="173">
        <v>136485</v>
      </c>
      <c r="AL9" s="173">
        <v>141425.81600000002</v>
      </c>
      <c r="AM9" s="201">
        <v>59568</v>
      </c>
      <c r="AN9" s="201">
        <v>113394</v>
      </c>
      <c r="AO9" s="170">
        <v>179458</v>
      </c>
      <c r="AP9" s="170">
        <v>160955</v>
      </c>
      <c r="AQ9" s="170">
        <v>53387</v>
      </c>
      <c r="AR9" s="170">
        <v>98116</v>
      </c>
      <c r="AS9" s="170">
        <v>142405</v>
      </c>
      <c r="AT9" s="170">
        <v>162633</v>
      </c>
      <c r="AU9" s="201">
        <v>51065</v>
      </c>
      <c r="AV9" s="170">
        <v>81368</v>
      </c>
      <c r="AW9" s="170">
        <v>134213</v>
      </c>
      <c r="AX9" s="170">
        <v>158949</v>
      </c>
      <c r="AY9" s="170">
        <v>64648</v>
      </c>
      <c r="AZ9" s="170">
        <f>Monthly_Imports!K10+Monthly_Imports!L10+Monthly_Imports!M10</f>
        <v>111253</v>
      </c>
      <c r="BA9" s="170">
        <f>Monthly_Imports!B16+Monthly_Imports!C16+Monthly_Imports!D16</f>
        <v>151375</v>
      </c>
      <c r="BB9" s="170">
        <f>Monthly_Imports!E16+Monthly_Imports!F16+Monthly_Imports!G16</f>
        <v>140049</v>
      </c>
      <c r="BC9" s="170">
        <f>Monthly_Imports!H16+Monthly_Imports!I16+Monthly_Imports!J16</f>
        <v>41228</v>
      </c>
      <c r="BD9" s="170">
        <f>Monthly_Imports!K16+Monthly_Imports!L16+Monthly_Imports!M16</f>
        <v>80935</v>
      </c>
      <c r="BE9" s="170">
        <f>Monthly_Imports!B22+Monthly_Imports!C22+Monthly_Imports!D22</f>
        <v>115168</v>
      </c>
      <c r="BF9" s="170">
        <f>Monthly_Imports!E22+Monthly_Imports!F22+Monthly_Imports!G22</f>
        <v>124418</v>
      </c>
      <c r="BG9" s="170">
        <f>Monthly_Imports!H22+Monthly_Imports!I22+Monthly_Imports!J22</f>
        <v>59019</v>
      </c>
      <c r="BH9" s="170">
        <f>Monthly_Imports!K22+Monthly_Imports!L22+Monthly_Imports!M22</f>
        <v>106087</v>
      </c>
      <c r="BI9" s="170">
        <f>Monthly_Imports!B28+Monthly_Imports!C28+Monthly_Imports!D28</f>
        <v>128002</v>
      </c>
      <c r="BJ9" s="170">
        <f>Monthly_Imports!$E$28+Monthly_Imports!$F$28+Monthly_Imports!$G$28</f>
        <v>151942</v>
      </c>
      <c r="BK9" s="170">
        <f>Monthly_Imports!H28+Monthly_Imports!I28+Monthly_Imports!J28</f>
        <v>56050</v>
      </c>
      <c r="BL9" s="170">
        <f>Monthly_Imports!K28+Monthly_Imports!L28+Monthly_Imports!M28</f>
        <v>100541</v>
      </c>
      <c r="BM9" s="170">
        <f>Monthly_Imports!$B$34+Monthly_Imports!$C$34+Monthly_Imports!$D$34</f>
        <v>143281</v>
      </c>
      <c r="BN9" s="170">
        <f>Monthly_Imports!E34+Monthly_Imports!F34+Monthly_Imports!G34</f>
        <v>150480</v>
      </c>
      <c r="BO9" s="170">
        <f>Monthly_Imports!H34+Monthly_Imports!I34+Monthly_Imports!J34</f>
        <v>44170.9</v>
      </c>
      <c r="BP9" s="170">
        <f>Monthly_Imports!K34+Monthly_Imports!L34+Monthly_Imports!M34</f>
        <v>86792</v>
      </c>
      <c r="BQ9" s="170">
        <f>Monthly_Imports!B40+Monthly_Imports!C40+Monthly_Imports!D40</f>
        <v>133591</v>
      </c>
      <c r="BR9" s="170">
        <f>Monthly_Imports!E40+Monthly_Imports!F40+Monthly_Imports!G40</f>
        <v>176811</v>
      </c>
      <c r="BS9" s="170">
        <f>Monthly_Imports!H40+Monthly_Imports!I40+Monthly_Imports!J40</f>
        <v>48535</v>
      </c>
      <c r="BT9" s="170">
        <f>Monthly_Imports!K40+Monthly_Imports!L40+Monthly_Imports!M40</f>
        <v>114129</v>
      </c>
      <c r="BU9" s="170">
        <f>Monthly_Imports!B46+Monthly_Imports!C46+Monthly_Imports!D46</f>
        <v>132505</v>
      </c>
      <c r="BV9" s="170">
        <f>Monthly_Imports!E46+Monthly_Imports!F46+Monthly_Imports!G46</f>
        <v>205220</v>
      </c>
      <c r="BW9" s="170">
        <f>Monthly_Imports!H46+Monthly_Imports!I46+Monthly_Imports!J46</f>
        <v>59540</v>
      </c>
      <c r="BX9" s="170">
        <f>Monthly_Imports!K46+Monthly_Imports!L46+Monthly_Imports!M46</f>
        <v>65587.7</v>
      </c>
      <c r="BY9" s="170">
        <f>Monthly_Imports!$B$52+Monthly_Imports!$C$52+Monthly_Imports!$D$52</f>
        <v>101758</v>
      </c>
      <c r="BZ9" s="170">
        <f>Monthly_Imports!E52+Monthly_Imports!F52+Monthly_Imports!G52</f>
        <v>171140</v>
      </c>
      <c r="CA9" s="170">
        <f>Monthly_Imports!H52+Monthly_Imports!I52+Monthly_Imports!J52</f>
        <v>67284.899999999994</v>
      </c>
      <c r="CB9" s="170">
        <f>Monthly_Imports!K52+Monthly_Imports!L52+Monthly_Imports!M52</f>
        <v>42490</v>
      </c>
      <c r="CC9" s="170">
        <f>Monthly_Imports!B58+Monthly_Imports!C58+Monthly_Imports!D58</f>
        <v>129920</v>
      </c>
      <c r="CD9" s="170">
        <f>Monthly_Imports!$E$58+Monthly_Imports!$F$58+Monthly_Imports!$G$58</f>
        <v>181807</v>
      </c>
      <c r="CE9" s="170">
        <f>Monthly_Imports!H58+Monthly_Imports!I58+Monthly_Imports!J58</f>
        <v>67751</v>
      </c>
      <c r="CF9" s="170">
        <f>Monthly_Imports!K58+Monthly_Imports!L58+Monthly_Imports!M58</f>
        <v>61869</v>
      </c>
      <c r="CG9" s="170">
        <f>Monthly_Imports!B64+Monthly_Imports!C64+Monthly_Imports!D64</f>
        <v>115065</v>
      </c>
      <c r="CH9" s="170">
        <f>Monthly_Imports!E65+Monthly_Imports!F65+Monthly_Imports!G65</f>
        <v>246238</v>
      </c>
      <c r="CI9" s="170">
        <f>Monthly_Imports!H64+Monthly_Imports!I64+Monthly_Imports!J64</f>
        <v>60586</v>
      </c>
      <c r="CJ9" s="170">
        <f>Monthly_Imports!K64+Monthly_Imports!L64+Monthly_Imports!M64</f>
        <v>66770</v>
      </c>
      <c r="CK9" s="170">
        <f>Monthly_Imports!B70+Monthly_Imports!C70+Monthly_Imports!D70</f>
        <v>114258</v>
      </c>
      <c r="CL9" s="170">
        <f>Monthly_Imports!E70+Monthly_Imports!F70+Monthly_Imports!G70</f>
        <v>181959</v>
      </c>
      <c r="CM9" s="170">
        <f>Monthly_Imports!H70+Monthly_Imports!I70+Monthly_Imports!J70</f>
        <v>45390</v>
      </c>
      <c r="CN9" s="169" t="s">
        <v>57</v>
      </c>
    </row>
    <row r="10" spans="1:93" s="170" customFormat="1">
      <c r="A10" s="174" t="s">
        <v>76</v>
      </c>
      <c r="B10" s="170">
        <v>179005</v>
      </c>
      <c r="C10" s="170">
        <v>38284</v>
      </c>
      <c r="D10" s="170">
        <v>18835</v>
      </c>
      <c r="E10" s="170">
        <v>169573</v>
      </c>
      <c r="F10" s="170">
        <v>140682</v>
      </c>
      <c r="G10" s="170">
        <v>36969</v>
      </c>
      <c r="H10" s="170">
        <v>42489</v>
      </c>
      <c r="I10" s="170">
        <v>142910</v>
      </c>
      <c r="J10" s="170">
        <v>193665</v>
      </c>
      <c r="K10" s="170">
        <v>59743</v>
      </c>
      <c r="L10" s="170">
        <v>37962</v>
      </c>
      <c r="M10" s="170">
        <v>164131</v>
      </c>
      <c r="N10" s="170">
        <v>235009</v>
      </c>
      <c r="O10" s="170">
        <v>81242</v>
      </c>
      <c r="P10" s="170">
        <v>24482</v>
      </c>
      <c r="Q10" s="170">
        <v>169331</v>
      </c>
      <c r="R10" s="170">
        <v>227972</v>
      </c>
      <c r="S10" s="170">
        <v>57883</v>
      </c>
      <c r="T10" s="170">
        <v>123345</v>
      </c>
      <c r="U10" s="170">
        <v>334779</v>
      </c>
      <c r="V10" s="170">
        <v>333871</v>
      </c>
      <c r="W10" s="170">
        <v>75408</v>
      </c>
      <c r="X10" s="170">
        <v>51829</v>
      </c>
      <c r="Y10" s="170">
        <v>240750</v>
      </c>
      <c r="Z10" s="170">
        <v>212846</v>
      </c>
      <c r="AA10" s="170">
        <v>67346</v>
      </c>
      <c r="AB10" s="170">
        <v>109966</v>
      </c>
      <c r="AC10" s="170">
        <v>278104</v>
      </c>
      <c r="AD10" s="173">
        <v>353745</v>
      </c>
      <c r="AE10" s="170">
        <v>80325</v>
      </c>
      <c r="AF10" s="170">
        <v>101722</v>
      </c>
      <c r="AG10" s="173">
        <v>311976</v>
      </c>
      <c r="AH10" s="173">
        <v>356716</v>
      </c>
      <c r="AI10" s="173">
        <v>107914</v>
      </c>
      <c r="AJ10" s="170">
        <v>125593</v>
      </c>
      <c r="AK10" s="173">
        <v>243681</v>
      </c>
      <c r="AL10" s="173">
        <v>285691</v>
      </c>
      <c r="AM10" s="201">
        <v>154350</v>
      </c>
      <c r="AN10" s="201">
        <v>156856</v>
      </c>
      <c r="AO10" s="170">
        <v>271966</v>
      </c>
      <c r="AP10" s="170">
        <v>331191</v>
      </c>
      <c r="AQ10" s="170">
        <v>133527</v>
      </c>
      <c r="AR10" s="170">
        <v>105782</v>
      </c>
      <c r="AS10" s="173">
        <v>241485</v>
      </c>
      <c r="AT10" s="173">
        <v>266313</v>
      </c>
      <c r="AU10" s="201">
        <v>90046</v>
      </c>
      <c r="AV10" s="173">
        <v>119030</v>
      </c>
      <c r="AW10" s="173">
        <v>231404</v>
      </c>
      <c r="AX10" s="173">
        <v>288047</v>
      </c>
      <c r="AY10" s="170">
        <v>114891</v>
      </c>
      <c r="AZ10" s="170">
        <f>Monthly_Imports!K11+Monthly_Imports!L11+Monthly_Imports!M11</f>
        <v>140993</v>
      </c>
      <c r="BA10" s="170">
        <f>Monthly_Imports!B17+Monthly_Imports!C17+Monthly_Imports!D17</f>
        <v>300338</v>
      </c>
      <c r="BB10" s="170">
        <f>Monthly_Imports!E17+Monthly_Imports!G17+Monthly_Imports!F17</f>
        <v>289899</v>
      </c>
      <c r="BC10" s="170">
        <f>Monthly_Imports!H17+Monthly_Imports!I17+Monthly_Imports!J17</f>
        <v>113373</v>
      </c>
      <c r="BD10" s="170">
        <f>Monthly_Imports!K17+Monthly_Imports!L17+Monthly_Imports!M17</f>
        <v>100889</v>
      </c>
      <c r="BE10" s="170">
        <f>Monthly_Imports!B23+Monthly_Imports!C23+Monthly_Imports!D23</f>
        <v>244516</v>
      </c>
      <c r="BF10" s="170">
        <f>Monthly_Imports!E23+Monthly_Imports!F23+Monthly_Imports!G23</f>
        <v>262989</v>
      </c>
      <c r="BG10" s="170">
        <f>Monthly_Imports!H23+Monthly_Imports!I23+Monthly_Imports!J23</f>
        <v>112764</v>
      </c>
      <c r="BH10" s="170">
        <f>Monthly_Imports!K23+Monthly_Imports!L23+Monthly_Imports!M23</f>
        <v>141751</v>
      </c>
      <c r="BI10" s="170">
        <f>Monthly_Imports!B29+Monthly_Imports!C29+Monthly_Imports!D29</f>
        <v>302186</v>
      </c>
      <c r="BJ10" s="170">
        <f>Monthly_Imports!$E$29+Monthly_Imports!$F$29+Monthly_Imports!$G$29</f>
        <v>355842</v>
      </c>
      <c r="BK10" s="170">
        <f>Monthly_Imports!H29+Monthly_Imports!I29+Monthly_Imports!J29</f>
        <v>131617</v>
      </c>
      <c r="BL10" s="170">
        <f>Monthly_Imports!K29+Monthly_Imports!L29+Monthly_Imports!M29</f>
        <v>190233</v>
      </c>
      <c r="BM10" s="170">
        <f>Monthly_Imports!$B$35+Monthly_Imports!$C$35+Monthly_Imports!$D$35</f>
        <v>264807</v>
      </c>
      <c r="BN10" s="170">
        <f>Monthly_Imports!E35+Monthly_Imports!F35+Monthly_Imports!G35</f>
        <v>328855</v>
      </c>
      <c r="BO10" s="170">
        <f>Monthly_Imports!H35+Monthly_Imports!I35+Monthly_Imports!J35</f>
        <v>136386</v>
      </c>
      <c r="BP10" s="170">
        <f>Monthly_Imports!K35+Monthly_Imports!L35+Monthly_Imports!M35</f>
        <v>154237</v>
      </c>
      <c r="BQ10" s="170">
        <f>Monthly_Imports!B41+Monthly_Imports!C41+Monthly_Imports!D41</f>
        <v>289046</v>
      </c>
      <c r="BR10" s="170">
        <f>Monthly_Imports!E41+Monthly_Imports!F41+Monthly_Imports!G41</f>
        <v>364632</v>
      </c>
      <c r="BS10" s="170">
        <f>Monthly_Imports!H41+Monthly_Imports!I41+Monthly_Imports!J41</f>
        <v>127944</v>
      </c>
      <c r="BT10" s="170">
        <f>Monthly_Imports!K41+Monthly_Imports!L41+Monthly_Imports!M41</f>
        <v>165137</v>
      </c>
      <c r="BU10" s="170">
        <f>Monthly_Imports!B47+Monthly_Imports!C47+Monthly_Imports!D47</f>
        <v>302352</v>
      </c>
      <c r="BV10" s="170">
        <f>Monthly_Imports!E47+Monthly_Imports!F47+Monthly_Imports!G47</f>
        <v>282753</v>
      </c>
      <c r="BW10" s="170">
        <f>Monthly_Imports!H47+Monthly_Imports!I47+Monthly_Imports!J47</f>
        <v>112663</v>
      </c>
      <c r="BX10" s="170">
        <f>Monthly_Imports!K47+Monthly_Imports!L47+Monthly_Imports!M47</f>
        <v>121456</v>
      </c>
      <c r="BY10" s="170">
        <f>Monthly_Imports!$B$53+Monthly_Imports!$C$53+Monthly_Imports!$D$53</f>
        <v>246032</v>
      </c>
      <c r="BZ10" s="170">
        <f>Monthly_Imports!E53+Monthly_Imports!F53+Monthly_Imports!G53</f>
        <v>284232</v>
      </c>
      <c r="CA10" s="170">
        <f>Monthly_Imports!H53+Monthly_Imports!I53+Monthly_Imports!J53</f>
        <v>145341</v>
      </c>
      <c r="CB10" s="170">
        <f>Monthly_Imports!K53+Monthly_Imports!L53+Monthly_Imports!M53</f>
        <v>119506</v>
      </c>
      <c r="CC10" s="170">
        <f>Monthly_Imports!B59+Monthly_Imports!C59+Monthly_Imports!D59</f>
        <v>221263</v>
      </c>
      <c r="CD10" s="170">
        <f>Monthly_Imports!$E$59+Monthly_Imports!$F$59+Monthly_Imports!$G$59</f>
        <v>319585</v>
      </c>
      <c r="CE10" s="170">
        <f>Monthly_Imports!H59+Monthly_Imports!I59+Monthly_Imports!J59</f>
        <v>165152</v>
      </c>
      <c r="CF10" s="170">
        <f>Monthly_Imports!K59+Monthly_Imports!L59+Monthly_Imports!M59</f>
        <v>131366</v>
      </c>
      <c r="CG10" s="170">
        <f>Monthly_Imports!B65+Monthly_Imports!C65+Monthly_Imports!D65</f>
        <v>227645</v>
      </c>
      <c r="CH10" s="170">
        <f>Monthly_Imports!E64+Monthly_Imports!F64+Monthly_Imports!G64</f>
        <v>161742</v>
      </c>
      <c r="CI10" s="170">
        <f>Monthly_Imports!H65+Monthly_Imports!I65+Monthly_Imports!J65</f>
        <v>129782</v>
      </c>
      <c r="CJ10" s="170">
        <f>Monthly_Imports!K65+Monthly_Imports!L65+Monthly_Imports!M65</f>
        <v>124397</v>
      </c>
      <c r="CK10" s="170">
        <f>Monthly_Imports!B71+Monthly_Imports!C71+Monthly_Imports!D71</f>
        <v>233864</v>
      </c>
      <c r="CL10" s="170">
        <f>Monthly_Imports!E71+Monthly_Imports!F71+Monthly_Imports!G71</f>
        <v>267892</v>
      </c>
      <c r="CM10" s="170">
        <f>Monthly_Imports!H71+Monthly_Imports!I71+Monthly_Imports!J71</f>
        <v>108036</v>
      </c>
      <c r="CN10" s="174" t="s">
        <v>76</v>
      </c>
    </row>
    <row r="11" spans="1:93" s="170" customFormat="1">
      <c r="A11" s="174" t="s">
        <v>112</v>
      </c>
      <c r="B11" s="176">
        <f>(B10/B12)</f>
        <v>0.5954259921133207</v>
      </c>
      <c r="C11" s="176">
        <f>(C10/C12)</f>
        <v>0.52275051648308135</v>
      </c>
      <c r="D11" s="176">
        <f>(D10/D12)</f>
        <v>0.47739744255896183</v>
      </c>
      <c r="E11" s="176">
        <f t="shared" ref="E11:AX11" si="0">(E10/E12)</f>
        <v>0.57581080516668748</v>
      </c>
      <c r="F11" s="176">
        <f t="shared" si="0"/>
        <v>0.56397483556647043</v>
      </c>
      <c r="G11" s="176">
        <f t="shared" si="0"/>
        <v>0.49430867784562765</v>
      </c>
      <c r="H11" s="176">
        <f t="shared" si="0"/>
        <v>0.43183827789127055</v>
      </c>
      <c r="I11" s="176">
        <f t="shared" si="0"/>
        <v>0.43793146561022966</v>
      </c>
      <c r="J11" s="176">
        <f t="shared" si="0"/>
        <v>0.60278426476753755</v>
      </c>
      <c r="K11" s="176">
        <f t="shared" si="0"/>
        <v>0.62161000768909824</v>
      </c>
      <c r="L11" s="176">
        <f t="shared" si="0"/>
        <v>0.38269186762139695</v>
      </c>
      <c r="M11" s="176">
        <f t="shared" si="0"/>
        <v>0.57855411349715202</v>
      </c>
      <c r="N11" s="176">
        <f t="shared" si="0"/>
        <v>0.52466126040687144</v>
      </c>
      <c r="O11" s="176">
        <f t="shared" si="0"/>
        <v>0.76438742310681396</v>
      </c>
      <c r="P11" s="176">
        <f t="shared" si="0"/>
        <v>0.44741151186420858</v>
      </c>
      <c r="Q11" s="176">
        <f t="shared" si="0"/>
        <v>0.5644959387402344</v>
      </c>
      <c r="R11" s="176">
        <f t="shared" si="0"/>
        <v>0.72610340663950246</v>
      </c>
      <c r="S11" s="176">
        <f t="shared" si="0"/>
        <v>0.71860606587294695</v>
      </c>
      <c r="T11" s="176">
        <f t="shared" si="0"/>
        <v>0.80169900782882531</v>
      </c>
      <c r="U11" s="176">
        <f t="shared" si="0"/>
        <v>0.77619293824149271</v>
      </c>
      <c r="V11" s="176">
        <f t="shared" si="0"/>
        <v>0.75192276075788866</v>
      </c>
      <c r="W11" s="176">
        <f t="shared" si="0"/>
        <v>0.64893947517209272</v>
      </c>
      <c r="X11" s="176">
        <f t="shared" si="0"/>
        <v>0.37903209292937567</v>
      </c>
      <c r="Y11" s="176">
        <f t="shared" si="0"/>
        <v>0.62391511333615646</v>
      </c>
      <c r="Z11" s="176">
        <f t="shared" si="0"/>
        <v>0.58308812672193666</v>
      </c>
      <c r="AA11" s="176">
        <f t="shared" si="0"/>
        <v>0.61542538609156539</v>
      </c>
      <c r="AB11" s="176">
        <f t="shared" si="0"/>
        <v>0.54390766142853542</v>
      </c>
      <c r="AC11" s="176">
        <f t="shared" si="0"/>
        <v>0.65596444964407186</v>
      </c>
      <c r="AD11" s="176">
        <f t="shared" si="0"/>
        <v>0.69034055981312237</v>
      </c>
      <c r="AE11" s="176">
        <f t="shared" si="0"/>
        <v>0.80248763674509216</v>
      </c>
      <c r="AF11" s="176">
        <f t="shared" si="0"/>
        <v>0.59051091076912354</v>
      </c>
      <c r="AG11" s="176">
        <f t="shared" si="0"/>
        <v>0.70778165978492669</v>
      </c>
      <c r="AH11" s="176">
        <f t="shared" si="0"/>
        <v>0.78319080500148197</v>
      </c>
      <c r="AI11" s="176">
        <f t="shared" si="0"/>
        <v>0.71446352670118241</v>
      </c>
      <c r="AJ11" s="176">
        <f t="shared" si="0"/>
        <v>0.51999138819769053</v>
      </c>
      <c r="AK11" s="176">
        <f t="shared" si="0"/>
        <v>0.64098577989615058</v>
      </c>
      <c r="AL11" s="176">
        <f t="shared" si="0"/>
        <v>0.66888258503968623</v>
      </c>
      <c r="AM11" s="176">
        <f t="shared" si="0"/>
        <v>0.72153815948167055</v>
      </c>
      <c r="AN11" s="176">
        <f t="shared" si="0"/>
        <v>0.58041073080481032</v>
      </c>
      <c r="AO11" s="176">
        <f t="shared" si="0"/>
        <v>0.60246242999929112</v>
      </c>
      <c r="AP11" s="176">
        <f t="shared" si="0"/>
        <v>0.67295274166609098</v>
      </c>
      <c r="AQ11" s="176">
        <f t="shared" si="0"/>
        <v>0.71437666520431853</v>
      </c>
      <c r="AR11" s="176">
        <f t="shared" si="0"/>
        <v>0.51879861499377145</v>
      </c>
      <c r="AS11" s="176">
        <f t="shared" si="0"/>
        <v>0.62904738336502641</v>
      </c>
      <c r="AT11" s="176">
        <f t="shared" si="0"/>
        <v>0.62085437327775528</v>
      </c>
      <c r="AU11" s="176">
        <f t="shared" si="0"/>
        <v>0.63812176230060025</v>
      </c>
      <c r="AV11" s="176">
        <f t="shared" si="0"/>
        <v>0.59396800367269131</v>
      </c>
      <c r="AW11" s="176">
        <f t="shared" si="0"/>
        <v>0.63291367742747195</v>
      </c>
      <c r="AX11" s="176">
        <f t="shared" si="0"/>
        <v>0.64440621392585173</v>
      </c>
      <c r="AY11" s="176">
        <f t="shared" ref="AY11:BE11" si="1">AY10/AY12</f>
        <v>0.63992224530603381</v>
      </c>
      <c r="AZ11" s="176">
        <f t="shared" si="1"/>
        <v>0.55895038969894473</v>
      </c>
      <c r="BA11" s="176">
        <f t="shared" si="1"/>
        <v>0.66488677545255503</v>
      </c>
      <c r="BB11" s="176">
        <f t="shared" si="1"/>
        <v>0.67426525998492837</v>
      </c>
      <c r="BC11" s="176">
        <f t="shared" si="1"/>
        <v>0.73332643385230367</v>
      </c>
      <c r="BD11" s="176">
        <f t="shared" si="1"/>
        <v>0.55487174410418871</v>
      </c>
      <c r="BE11" s="176">
        <f t="shared" si="1"/>
        <v>0.6798078313186019</v>
      </c>
      <c r="BF11" s="176">
        <f t="shared" ref="BF11:BK11" si="2">BF10/BF12</f>
        <v>0.67884421293368469</v>
      </c>
      <c r="BG11" s="176">
        <f t="shared" si="2"/>
        <v>0.65643282513403534</v>
      </c>
      <c r="BH11" s="176">
        <f t="shared" si="2"/>
        <v>0.5719502255505613</v>
      </c>
      <c r="BI11" s="176">
        <f t="shared" si="2"/>
        <v>0.70245102141389348</v>
      </c>
      <c r="BJ11" s="176">
        <f t="shared" si="2"/>
        <v>0.70077434499708535</v>
      </c>
      <c r="BK11" s="176">
        <f t="shared" si="2"/>
        <v>0.7013326796932865</v>
      </c>
      <c r="BL11" s="176">
        <f t="shared" ref="BL11:BQ11" si="3">BL10/BL12</f>
        <v>0.6542297454380378</v>
      </c>
      <c r="BM11" s="176">
        <f t="shared" si="3"/>
        <v>0.64889680657113169</v>
      </c>
      <c r="BN11" s="176">
        <f t="shared" si="3"/>
        <v>0.68606506931477984</v>
      </c>
      <c r="BO11" s="176">
        <f t="shared" si="3"/>
        <v>0.75536299083557601</v>
      </c>
      <c r="BP11" s="176">
        <f t="shared" si="3"/>
        <v>0.63991055018275811</v>
      </c>
      <c r="BQ11" s="176">
        <f t="shared" si="3"/>
        <v>0.68391077922661769</v>
      </c>
      <c r="BR11" s="176">
        <f t="shared" ref="BR11:BW11" si="4">BR10/BR12</f>
        <v>0.67344485015043132</v>
      </c>
      <c r="BS11" s="176">
        <f t="shared" si="4"/>
        <v>0.72498144255123842</v>
      </c>
      <c r="BT11" s="176">
        <f t="shared" si="4"/>
        <v>0.59132511655554199</v>
      </c>
      <c r="BU11" s="176">
        <f t="shared" si="4"/>
        <v>0.69529063577221939</v>
      </c>
      <c r="BV11" s="176">
        <f t="shared" si="4"/>
        <v>0.57944394464447824</v>
      </c>
      <c r="BW11" s="176">
        <f t="shared" si="4"/>
        <v>0.65424528027966988</v>
      </c>
      <c r="BX11" s="176">
        <f t="shared" ref="BX11:CC11" si="5">BX10/BX12</f>
        <v>0.64934558073861881</v>
      </c>
      <c r="BY11" s="176">
        <f t="shared" si="5"/>
        <v>0.7074153943471635</v>
      </c>
      <c r="BZ11" s="176">
        <f t="shared" si="5"/>
        <v>0.62417539945363354</v>
      </c>
      <c r="CA11" s="176">
        <f t="shared" si="5"/>
        <v>0.68355266221095368</v>
      </c>
      <c r="CB11" s="176">
        <f t="shared" si="5"/>
        <v>0.73770957307587837</v>
      </c>
      <c r="CC11" s="176">
        <f t="shared" si="5"/>
        <v>0.63005042954812729</v>
      </c>
      <c r="CD11" s="176">
        <f t="shared" ref="CD11:CI11" si="6">CD10/CD12</f>
        <v>0.63739549095318637</v>
      </c>
      <c r="CE11" s="176">
        <f t="shared" si="6"/>
        <v>0.70910207253663537</v>
      </c>
      <c r="CF11" s="176">
        <f t="shared" si="6"/>
        <v>0.67982508344761561</v>
      </c>
      <c r="CG11" s="176">
        <f t="shared" si="6"/>
        <v>0.66424965714452455</v>
      </c>
      <c r="CH11" s="176">
        <f t="shared" si="6"/>
        <v>0.39644590421099074</v>
      </c>
      <c r="CI11" s="176">
        <f t="shared" si="6"/>
        <v>0.6817427298705665</v>
      </c>
      <c r="CJ11" s="176">
        <f>CJ10/CJ12</f>
        <v>0.65072423587753114</v>
      </c>
      <c r="CK11" s="176">
        <f>CK10/CK12</f>
        <v>0.67178747680410889</v>
      </c>
      <c r="CL11" s="176">
        <f>CL10/CL12</f>
        <v>0.59551273643939884</v>
      </c>
      <c r="CM11" s="176">
        <f>CM10/CM12</f>
        <v>0.70415705291150132</v>
      </c>
      <c r="CN11" s="174" t="s">
        <v>77</v>
      </c>
      <c r="CO11" s="176"/>
    </row>
    <row r="12" spans="1:93" s="170" customFormat="1" ht="12.75" thickBot="1">
      <c r="A12" s="174" t="s">
        <v>196</v>
      </c>
      <c r="B12" s="177">
        <f t="shared" ref="B12:W12" si="7">SUM(B9:B10)</f>
        <v>300633.5</v>
      </c>
      <c r="C12" s="177">
        <f t="shared" si="7"/>
        <v>73235.7</v>
      </c>
      <c r="D12" s="177">
        <f t="shared" si="7"/>
        <v>39453.5</v>
      </c>
      <c r="E12" s="177">
        <f t="shared" si="7"/>
        <v>294494.3</v>
      </c>
      <c r="F12" s="177">
        <f t="shared" si="7"/>
        <v>249447.3</v>
      </c>
      <c r="G12" s="177">
        <f t="shared" si="7"/>
        <v>74789.3</v>
      </c>
      <c r="H12" s="177">
        <f t="shared" si="7"/>
        <v>98391</v>
      </c>
      <c r="I12" s="177">
        <f t="shared" si="7"/>
        <v>326329.59999999998</v>
      </c>
      <c r="J12" s="177">
        <f t="shared" si="7"/>
        <v>321284.09999999998</v>
      </c>
      <c r="K12" s="177">
        <f t="shared" si="7"/>
        <v>96110.1</v>
      </c>
      <c r="L12" s="177">
        <f t="shared" si="7"/>
        <v>99197.3</v>
      </c>
      <c r="M12" s="177">
        <f t="shared" si="7"/>
        <v>283691.7</v>
      </c>
      <c r="N12" s="177">
        <f t="shared" si="7"/>
        <v>447925.2</v>
      </c>
      <c r="O12" s="177">
        <f t="shared" si="7"/>
        <v>106283.8</v>
      </c>
      <c r="P12" s="177">
        <f t="shared" si="7"/>
        <v>54719.199999999997</v>
      </c>
      <c r="Q12" s="177">
        <f t="shared" si="7"/>
        <v>299968.5</v>
      </c>
      <c r="R12" s="177">
        <f t="shared" si="7"/>
        <v>313966.3</v>
      </c>
      <c r="S12" s="177">
        <f t="shared" si="7"/>
        <v>80549</v>
      </c>
      <c r="T12" s="177">
        <f t="shared" si="7"/>
        <v>153854.5</v>
      </c>
      <c r="U12" s="177">
        <f t="shared" si="7"/>
        <v>431309</v>
      </c>
      <c r="V12" s="177">
        <f t="shared" si="7"/>
        <v>444023</v>
      </c>
      <c r="W12" s="177">
        <f t="shared" si="7"/>
        <v>116201.9</v>
      </c>
      <c r="X12" s="177">
        <f>SUM(X9:X10)</f>
        <v>136740.4</v>
      </c>
      <c r="Y12" s="177">
        <f>SUM(Y9:Y10)</f>
        <v>385869.8</v>
      </c>
      <c r="Z12" s="177">
        <f>SUM(Z9:Z10)</f>
        <v>365032.3</v>
      </c>
      <c r="AA12" s="177">
        <f>SUM(AA9:AA10)</f>
        <v>109430</v>
      </c>
      <c r="AB12" s="177">
        <f t="shared" ref="AB12:AL12" si="8">SUM(AB9:AB10)</f>
        <v>202177.7</v>
      </c>
      <c r="AC12" s="177">
        <f t="shared" si="8"/>
        <v>423962</v>
      </c>
      <c r="AD12" s="177">
        <f t="shared" si="8"/>
        <v>512421</v>
      </c>
      <c r="AE12" s="177">
        <f t="shared" si="8"/>
        <v>100095</v>
      </c>
      <c r="AF12" s="177">
        <f t="shared" si="8"/>
        <v>172261</v>
      </c>
      <c r="AG12" s="177">
        <f t="shared" si="8"/>
        <v>440780</v>
      </c>
      <c r="AH12" s="177">
        <f t="shared" si="8"/>
        <v>455465</v>
      </c>
      <c r="AI12" s="177">
        <f t="shared" si="8"/>
        <v>151042</v>
      </c>
      <c r="AJ12" s="177">
        <f t="shared" si="8"/>
        <v>241529</v>
      </c>
      <c r="AK12" s="177">
        <f t="shared" si="8"/>
        <v>380166</v>
      </c>
      <c r="AL12" s="177">
        <f t="shared" si="8"/>
        <v>427116.81599999999</v>
      </c>
      <c r="AM12" s="246">
        <f t="shared" ref="AM12:AU12" si="9">SUM(AM9:AM10)</f>
        <v>213918</v>
      </c>
      <c r="AN12" s="246">
        <f t="shared" si="9"/>
        <v>270250</v>
      </c>
      <c r="AO12" s="246">
        <f t="shared" si="9"/>
        <v>451424</v>
      </c>
      <c r="AP12" s="246">
        <f t="shared" si="9"/>
        <v>492146</v>
      </c>
      <c r="AQ12" s="177">
        <f t="shared" si="9"/>
        <v>186914</v>
      </c>
      <c r="AR12" s="246">
        <f t="shared" si="9"/>
        <v>203898</v>
      </c>
      <c r="AS12" s="246">
        <f t="shared" si="9"/>
        <v>383890</v>
      </c>
      <c r="AT12" s="246">
        <f t="shared" si="9"/>
        <v>428946</v>
      </c>
      <c r="AU12" s="246">
        <f t="shared" si="9"/>
        <v>141111</v>
      </c>
      <c r="AV12" s="247">
        <f>+SUM(AV9:AV10)</f>
        <v>200398</v>
      </c>
      <c r="AW12" s="247">
        <f>+SUM(AW9:AW10)</f>
        <v>365617</v>
      </c>
      <c r="AX12" s="247">
        <f>+SUM(AX9:AX10)</f>
        <v>446996</v>
      </c>
      <c r="AY12" s="177">
        <f t="shared" ref="AY12:BE12" si="10">AY9+AY10</f>
        <v>179539</v>
      </c>
      <c r="AZ12" s="177">
        <f t="shared" si="10"/>
        <v>252246</v>
      </c>
      <c r="BA12" s="177">
        <f t="shared" si="10"/>
        <v>451713</v>
      </c>
      <c r="BB12" s="177">
        <f t="shared" si="10"/>
        <v>429948</v>
      </c>
      <c r="BC12" s="177">
        <f t="shared" si="10"/>
        <v>154601</v>
      </c>
      <c r="BD12" s="177">
        <f t="shared" si="10"/>
        <v>181824</v>
      </c>
      <c r="BE12" s="177">
        <f t="shared" si="10"/>
        <v>359684</v>
      </c>
      <c r="BF12" s="177">
        <f>BF9+BF10</f>
        <v>387407</v>
      </c>
      <c r="BG12" s="177">
        <f>BG9+BG10</f>
        <v>171783</v>
      </c>
      <c r="BH12" s="248">
        <f>Monthly_Imports!K25+Monthly_Imports!L25+Monthly_Imports!M25</f>
        <v>247838</v>
      </c>
      <c r="BI12" s="248">
        <f t="shared" ref="BI12:BN12" si="11">BI9+BI10</f>
        <v>430188</v>
      </c>
      <c r="BJ12" s="248">
        <f t="shared" si="11"/>
        <v>507784</v>
      </c>
      <c r="BK12" s="248">
        <f t="shared" si="11"/>
        <v>187667</v>
      </c>
      <c r="BL12" s="248">
        <f t="shared" si="11"/>
        <v>290774</v>
      </c>
      <c r="BM12" s="248">
        <f t="shared" si="11"/>
        <v>408088</v>
      </c>
      <c r="BN12" s="248">
        <f t="shared" si="11"/>
        <v>479335</v>
      </c>
      <c r="BO12" s="248">
        <f t="shared" ref="BO12:BT12" si="12">BO9+BO10</f>
        <v>180556.9</v>
      </c>
      <c r="BP12" s="248">
        <f t="shared" si="12"/>
        <v>241029</v>
      </c>
      <c r="BQ12" s="248">
        <f t="shared" si="12"/>
        <v>422637</v>
      </c>
      <c r="BR12" s="248">
        <f t="shared" si="12"/>
        <v>541443</v>
      </c>
      <c r="BS12" s="248">
        <f t="shared" si="12"/>
        <v>176479</v>
      </c>
      <c r="BT12" s="248">
        <f t="shared" si="12"/>
        <v>279266</v>
      </c>
      <c r="BU12" s="248">
        <f t="shared" ref="BU12:BZ12" si="13">BU9+BU10</f>
        <v>434857</v>
      </c>
      <c r="BV12" s="248">
        <f t="shared" si="13"/>
        <v>487973</v>
      </c>
      <c r="BW12" s="248">
        <f t="shared" si="13"/>
        <v>172203</v>
      </c>
      <c r="BX12" s="248">
        <f t="shared" si="13"/>
        <v>187043.7</v>
      </c>
      <c r="BY12" s="248">
        <f t="shared" si="13"/>
        <v>347790</v>
      </c>
      <c r="BZ12" s="248">
        <f t="shared" si="13"/>
        <v>455372</v>
      </c>
      <c r="CA12" s="248">
        <f t="shared" ref="CA12:CF12" si="14">CA9+CA10</f>
        <v>212625.9</v>
      </c>
      <c r="CB12" s="248">
        <f t="shared" si="14"/>
        <v>161996</v>
      </c>
      <c r="CC12" s="248">
        <f t="shared" si="14"/>
        <v>351183</v>
      </c>
      <c r="CD12" s="248">
        <f t="shared" si="14"/>
        <v>501392</v>
      </c>
      <c r="CE12" s="248">
        <f t="shared" si="14"/>
        <v>232903</v>
      </c>
      <c r="CF12" s="248">
        <f t="shared" si="14"/>
        <v>193235</v>
      </c>
      <c r="CG12" s="248">
        <f t="shared" ref="CG12:CM12" si="15">CG9+CG10</f>
        <v>342710</v>
      </c>
      <c r="CH12" s="248">
        <f t="shared" si="15"/>
        <v>407980</v>
      </c>
      <c r="CI12" s="248">
        <f t="shared" si="15"/>
        <v>190368</v>
      </c>
      <c r="CJ12" s="248">
        <f t="shared" si="15"/>
        <v>191167</v>
      </c>
      <c r="CK12" s="248">
        <f t="shared" si="15"/>
        <v>348122</v>
      </c>
      <c r="CL12" s="248">
        <f t="shared" si="15"/>
        <v>449851</v>
      </c>
      <c r="CM12" s="248">
        <f t="shared" si="15"/>
        <v>153426</v>
      </c>
      <c r="CN12" s="174" t="s">
        <v>196</v>
      </c>
    </row>
    <row r="13" spans="1:93" s="170" customFormat="1" ht="12.75" thickTop="1">
      <c r="A13" s="174" t="s">
        <v>128</v>
      </c>
      <c r="B13" s="176"/>
      <c r="C13" s="176"/>
      <c r="D13" s="176"/>
      <c r="E13" s="176"/>
      <c r="F13" s="176">
        <f>((F12-B12)/B12)</f>
        <v>-0.17026113190978387</v>
      </c>
      <c r="G13" s="176">
        <f>((G12-C12)/C12)</f>
        <v>2.121369769115344E-2</v>
      </c>
      <c r="H13" s="176">
        <f t="shared" ref="H13:BA13" si="16">((H12-D12)/D12)</f>
        <v>1.4938471871950525</v>
      </c>
      <c r="I13" s="176">
        <f t="shared" si="16"/>
        <v>0.10810158295084146</v>
      </c>
      <c r="J13" s="176">
        <f t="shared" si="16"/>
        <v>0.28798387475029791</v>
      </c>
      <c r="K13" s="176">
        <f t="shared" si="16"/>
        <v>0.28507821305988962</v>
      </c>
      <c r="L13" s="176">
        <f t="shared" si="16"/>
        <v>8.1948552204978396E-3</v>
      </c>
      <c r="M13" s="176">
        <f t="shared" si="16"/>
        <v>-0.13065900243189699</v>
      </c>
      <c r="N13" s="176">
        <f t="shared" si="16"/>
        <v>0.39417170037359472</v>
      </c>
      <c r="O13" s="176">
        <f t="shared" si="16"/>
        <v>0.10585463962684459</v>
      </c>
      <c r="P13" s="176">
        <f t="shared" si="16"/>
        <v>-0.44838014744352928</v>
      </c>
      <c r="Q13" s="176">
        <f t="shared" si="16"/>
        <v>5.7374960212089349E-2</v>
      </c>
      <c r="R13" s="176">
        <f t="shared" si="16"/>
        <v>-0.29906533501575716</v>
      </c>
      <c r="S13" s="176">
        <f t="shared" si="16"/>
        <v>-0.24213285561863615</v>
      </c>
      <c r="T13" s="176">
        <f t="shared" si="16"/>
        <v>1.8117096010175588</v>
      </c>
      <c r="U13" s="176">
        <f t="shared" si="16"/>
        <v>0.43784764066893689</v>
      </c>
      <c r="V13" s="176">
        <f t="shared" si="16"/>
        <v>0.41423777010462592</v>
      </c>
      <c r="W13" s="176">
        <f t="shared" si="16"/>
        <v>0.44262374455300491</v>
      </c>
      <c r="X13" s="176">
        <f t="shared" si="16"/>
        <v>-0.11123561546786091</v>
      </c>
      <c r="Y13" s="176">
        <f t="shared" si="16"/>
        <v>-0.10535184751535445</v>
      </c>
      <c r="Z13" s="176">
        <f t="shared" si="16"/>
        <v>-0.17789776655713782</v>
      </c>
      <c r="AA13" s="176">
        <f t="shared" si="16"/>
        <v>-5.8277016124521151E-2</v>
      </c>
      <c r="AB13" s="176">
        <f t="shared" si="16"/>
        <v>0.47855132791771871</v>
      </c>
      <c r="AC13" s="176">
        <f t="shared" si="16"/>
        <v>9.8717754019620116E-2</v>
      </c>
      <c r="AD13" s="176">
        <f t="shared" si="16"/>
        <v>0.40376892674976989</v>
      </c>
      <c r="AE13" s="176">
        <f t="shared" si="16"/>
        <v>-8.5305674860641501E-2</v>
      </c>
      <c r="AF13" s="176">
        <f t="shared" si="16"/>
        <v>-0.14797230357255034</v>
      </c>
      <c r="AG13" s="176">
        <f t="shared" si="16"/>
        <v>3.9668649548780313E-2</v>
      </c>
      <c r="AH13" s="176">
        <f t="shared" si="16"/>
        <v>-0.11115079202452671</v>
      </c>
      <c r="AI13" s="176">
        <f t="shared" si="16"/>
        <v>0.50898646286028271</v>
      </c>
      <c r="AJ13" s="176">
        <f t="shared" si="16"/>
        <v>0.40211075054713485</v>
      </c>
      <c r="AK13" s="176">
        <f t="shared" si="16"/>
        <v>-0.13751531376196743</v>
      </c>
      <c r="AL13" s="176">
        <f t="shared" si="16"/>
        <v>-6.2240093091675559E-2</v>
      </c>
      <c r="AM13" s="176">
        <f t="shared" si="16"/>
        <v>0.41628156406827238</v>
      </c>
      <c r="AN13" s="176">
        <f t="shared" si="16"/>
        <v>0.11891325679318011</v>
      </c>
      <c r="AO13" s="176">
        <f t="shared" si="16"/>
        <v>0.18743917130937537</v>
      </c>
      <c r="AP13" s="176">
        <f t="shared" si="16"/>
        <v>0.15225151893808839</v>
      </c>
      <c r="AQ13" s="176">
        <f t="shared" si="16"/>
        <v>-0.12623528641816023</v>
      </c>
      <c r="AR13" s="176">
        <f t="shared" si="16"/>
        <v>-0.24552081406105458</v>
      </c>
      <c r="AS13" s="176">
        <f t="shared" si="16"/>
        <v>-0.14960214786985185</v>
      </c>
      <c r="AT13" s="176">
        <f t="shared" si="16"/>
        <v>-0.12841717701657637</v>
      </c>
      <c r="AU13" s="176">
        <f t="shared" si="16"/>
        <v>-0.24504852499010241</v>
      </c>
      <c r="AV13" s="176">
        <f t="shared" si="16"/>
        <v>-1.7165445467831955E-2</v>
      </c>
      <c r="AW13" s="176">
        <f t="shared" si="16"/>
        <v>-4.7599572794290029E-2</v>
      </c>
      <c r="AX13" s="176">
        <f t="shared" si="16"/>
        <v>4.2079888843817172E-2</v>
      </c>
      <c r="AY13" s="176">
        <f t="shared" si="16"/>
        <v>0.2723246238776566</v>
      </c>
      <c r="AZ13" s="176">
        <f t="shared" si="16"/>
        <v>0.25872513697741495</v>
      </c>
      <c r="BA13" s="176">
        <f t="shared" si="16"/>
        <v>0.23548139172959681</v>
      </c>
      <c r="BB13" s="176">
        <f t="shared" ref="BB13:BV13" si="17">((BB12-AX12)/AX12)</f>
        <v>-3.8139043749832215E-2</v>
      </c>
      <c r="BC13" s="176">
        <f t="shared" si="17"/>
        <v>-0.13890018324709394</v>
      </c>
      <c r="BD13" s="176">
        <f t="shared" si="17"/>
        <v>-0.27917984824338143</v>
      </c>
      <c r="BE13" s="176">
        <f t="shared" si="17"/>
        <v>-0.20373334395954953</v>
      </c>
      <c r="BF13" s="176">
        <f t="shared" si="17"/>
        <v>-9.8944523523774974E-2</v>
      </c>
      <c r="BG13" s="176">
        <f t="shared" si="17"/>
        <v>0.11113770286091293</v>
      </c>
      <c r="BH13" s="176">
        <f t="shared" si="17"/>
        <v>0.36306538190777893</v>
      </c>
      <c r="BI13" s="176">
        <f t="shared" si="17"/>
        <v>0.19601650337518489</v>
      </c>
      <c r="BJ13" s="176">
        <f t="shared" si="17"/>
        <v>0.31072489655581853</v>
      </c>
      <c r="BK13" s="176">
        <f t="shared" si="17"/>
        <v>9.2465494257289726E-2</v>
      </c>
      <c r="BL13" s="176">
        <f t="shared" si="17"/>
        <v>0.17324219853291262</v>
      </c>
      <c r="BM13" s="176">
        <f t="shared" si="17"/>
        <v>-5.1372888132630384E-2</v>
      </c>
      <c r="BN13" s="176">
        <f t="shared" si="17"/>
        <v>-5.6025790493595705E-2</v>
      </c>
      <c r="BO13" s="176">
        <f t="shared" si="17"/>
        <v>-3.7886788833412406E-2</v>
      </c>
      <c r="BP13" s="176">
        <f t="shared" si="17"/>
        <v>-0.17107788179135686</v>
      </c>
      <c r="BQ13" s="176">
        <f t="shared" si="17"/>
        <v>3.5651624159495014E-2</v>
      </c>
      <c r="BR13" s="176">
        <f t="shared" si="17"/>
        <v>0.12957117673443416</v>
      </c>
      <c r="BS13" s="176">
        <f t="shared" si="17"/>
        <v>-2.2585124135383331E-2</v>
      </c>
      <c r="BT13" s="176">
        <f t="shared" si="17"/>
        <v>0.15864066149716424</v>
      </c>
      <c r="BU13" s="176">
        <f t="shared" si="17"/>
        <v>2.8913701356010003E-2</v>
      </c>
      <c r="BV13" s="176">
        <f t="shared" si="17"/>
        <v>-9.8754624217138279E-2</v>
      </c>
      <c r="BW13" s="176">
        <f t="shared" ref="BW13:CM13" si="18">((BW12-BS12)/BS12)</f>
        <v>-2.42295117266077E-2</v>
      </c>
      <c r="BX13" s="176">
        <f t="shared" si="18"/>
        <v>-0.3302310342111105</v>
      </c>
      <c r="BY13" s="176">
        <f t="shared" si="18"/>
        <v>-0.20021984238496793</v>
      </c>
      <c r="BZ13" s="176">
        <f t="shared" si="18"/>
        <v>-6.6809024269785425E-2</v>
      </c>
      <c r="CA13" s="176">
        <f t="shared" si="18"/>
        <v>0.2347398128952457</v>
      </c>
      <c r="CB13" s="176">
        <f t="shared" si="18"/>
        <v>-0.13391362553242911</v>
      </c>
      <c r="CC13" s="176">
        <f t="shared" si="18"/>
        <v>9.7558871732942292E-3</v>
      </c>
      <c r="CD13" s="176">
        <f t="shared" si="18"/>
        <v>0.10106023207399664</v>
      </c>
      <c r="CE13" s="176">
        <f t="shared" si="18"/>
        <v>9.5365146014667099E-2</v>
      </c>
      <c r="CF13" s="176">
        <f t="shared" si="18"/>
        <v>0.19283809476777206</v>
      </c>
      <c r="CG13" s="176">
        <f t="shared" si="18"/>
        <v>-2.4127022093894068E-2</v>
      </c>
      <c r="CH13" s="176">
        <f t="shared" si="18"/>
        <v>-0.18630532597249258</v>
      </c>
      <c r="CI13" s="176">
        <f t="shared" si="18"/>
        <v>-0.18262967844982675</v>
      </c>
      <c r="CJ13" s="176">
        <f t="shared" si="18"/>
        <v>-1.0701994980205449E-2</v>
      </c>
      <c r="CK13" s="176">
        <f t="shared" si="18"/>
        <v>1.5791777304426484E-2</v>
      </c>
      <c r="CL13" s="176">
        <f t="shared" si="18"/>
        <v>0.10263003088386685</v>
      </c>
      <c r="CM13" s="176">
        <f t="shared" si="18"/>
        <v>-0.1940557236510338</v>
      </c>
      <c r="CN13" s="174" t="s">
        <v>128</v>
      </c>
    </row>
    <row r="14" spans="1:93" s="170" customFormat="1">
      <c r="A14" s="249" t="s">
        <v>59</v>
      </c>
      <c r="B14" s="206"/>
      <c r="C14" s="206"/>
      <c r="D14" s="206"/>
      <c r="E14" s="206"/>
      <c r="F14" s="206">
        <f>SUM(C12:F12)</f>
        <v>656630.80000000005</v>
      </c>
      <c r="G14" s="206"/>
      <c r="H14" s="206"/>
      <c r="I14" s="206"/>
      <c r="J14" s="206">
        <f>SUM(G12:J12)</f>
        <v>820794</v>
      </c>
      <c r="K14" s="206"/>
      <c r="L14" s="206"/>
      <c r="M14" s="206"/>
      <c r="N14" s="206">
        <f>SUM(K12:N12)</f>
        <v>926924.3</v>
      </c>
      <c r="O14" s="206"/>
      <c r="P14" s="206"/>
      <c r="Q14" s="206"/>
      <c r="R14" s="206">
        <f>SUM(O12:R12)</f>
        <v>774937.8</v>
      </c>
      <c r="S14" s="206"/>
      <c r="T14" s="206"/>
      <c r="U14" s="206"/>
      <c r="V14" s="206">
        <f>SUM(S12:V12)</f>
        <v>1109735.5</v>
      </c>
      <c r="W14" s="206"/>
      <c r="X14" s="206"/>
      <c r="Y14" s="206"/>
      <c r="Z14" s="206">
        <f>SUM(W12:Z12)</f>
        <v>1003844.3999999999</v>
      </c>
      <c r="AA14" s="206"/>
      <c r="AB14" s="206"/>
      <c r="AC14" s="206"/>
      <c r="AD14" s="206">
        <f>SUM(AA12:AD12)</f>
        <v>1247990.7</v>
      </c>
      <c r="AE14" s="206"/>
      <c r="AF14" s="206"/>
      <c r="AH14" s="206">
        <f>SUM(AE12:AH12)</f>
        <v>1168601</v>
      </c>
      <c r="AL14" s="206">
        <f>SUM(AI12:AL12)</f>
        <v>1199853.8160000001</v>
      </c>
      <c r="AM14" s="201"/>
      <c r="AN14" s="201"/>
      <c r="AP14" s="206">
        <f>SUM(AM12:AP12)</f>
        <v>1427738</v>
      </c>
      <c r="AQ14" s="206" t="s">
        <v>14</v>
      </c>
      <c r="AR14" s="206"/>
      <c r="AS14" s="206"/>
      <c r="AT14" s="206">
        <f>+SUM(AQ12:AT12)</f>
        <v>1203648</v>
      </c>
      <c r="AU14" s="206"/>
      <c r="AV14" s="206"/>
      <c r="AW14" s="206"/>
      <c r="AX14" s="206">
        <f>SUM(AU12:AX12)</f>
        <v>1154122</v>
      </c>
      <c r="BB14" s="206">
        <f>SUM(AY12:BB12)</f>
        <v>1313446</v>
      </c>
      <c r="BC14" s="206"/>
      <c r="BD14" s="206"/>
      <c r="BE14" s="206"/>
      <c r="BF14" s="206">
        <f>BC12+BD12+BE12+BF12</f>
        <v>1083516</v>
      </c>
      <c r="BG14" s="206"/>
      <c r="BH14" s="206"/>
      <c r="BI14" s="206"/>
      <c r="BJ14" s="206">
        <f>BG12+BH12+BI12+BJ12</f>
        <v>1357593</v>
      </c>
      <c r="BK14" s="206"/>
      <c r="BL14" s="206"/>
      <c r="BM14" s="206"/>
      <c r="BN14" s="206">
        <f>BK12+BL12+BM12+BN12</f>
        <v>1365864</v>
      </c>
      <c r="BO14" s="206"/>
      <c r="BP14" s="206"/>
      <c r="BQ14" s="206"/>
      <c r="BR14" s="206">
        <f>BO12+BP12+BQ12+BR12</f>
        <v>1385665.9</v>
      </c>
      <c r="BS14" s="206"/>
      <c r="BT14" s="206"/>
      <c r="BU14" s="206"/>
      <c r="BV14" s="206">
        <f>BS12+BT12+BU12+BV12</f>
        <v>1378575</v>
      </c>
      <c r="BW14" s="206"/>
      <c r="BX14" s="206"/>
      <c r="BY14" s="206"/>
      <c r="BZ14" s="206">
        <f>BW12+BX12+BY12+BZ12</f>
        <v>1162408.7</v>
      </c>
      <c r="CA14" s="206"/>
      <c r="CB14" s="206"/>
      <c r="CC14" s="206"/>
      <c r="CD14" s="206">
        <f>CA12+CB12+CC12+CD12</f>
        <v>1227196.8999999999</v>
      </c>
      <c r="CE14" s="206"/>
      <c r="CF14" s="206"/>
      <c r="CG14" s="206"/>
      <c r="CH14" s="206">
        <f>CE12+CF12+CG12+CH12</f>
        <v>1176828</v>
      </c>
      <c r="CI14" s="206"/>
      <c r="CJ14" s="206"/>
      <c r="CK14" s="206"/>
      <c r="CL14" s="206">
        <f>CI12+CJ12+CK12+CL12</f>
        <v>1179508</v>
      </c>
      <c r="CM14" s="206"/>
      <c r="CN14" s="249" t="s">
        <v>197</v>
      </c>
    </row>
    <row r="15" spans="1:93" s="170" customFormat="1" ht="18" customHeight="1">
      <c r="A15" s="174" t="s">
        <v>113</v>
      </c>
      <c r="F15" s="170">
        <f>(SUM(C10:F10))</f>
        <v>367374</v>
      </c>
      <c r="J15" s="170">
        <f>(SUM(G10:J10))</f>
        <v>416033</v>
      </c>
      <c r="N15" s="170">
        <f>(SUM(K10:N10))</f>
        <v>496845</v>
      </c>
      <c r="R15" s="170">
        <f>(SUM(O10:R10))</f>
        <v>503027</v>
      </c>
      <c r="V15" s="170">
        <f>(SUM(S10:V10))</f>
        <v>849878</v>
      </c>
      <c r="Z15" s="170">
        <f>(SUM(W10:Z10))</f>
        <v>580833</v>
      </c>
      <c r="AD15" s="170">
        <f>(SUM(AA10:AD10))</f>
        <v>809161</v>
      </c>
      <c r="AH15" s="170">
        <f>(SUM(AE10:AH10))</f>
        <v>850739</v>
      </c>
      <c r="AJ15" s="27"/>
      <c r="AL15" s="170">
        <f>(SUM(AI10:AL10))</f>
        <v>762879</v>
      </c>
      <c r="AM15" s="201"/>
      <c r="AN15" s="201"/>
      <c r="AP15" s="170">
        <f>(SUM(AM10:AP10))</f>
        <v>914363</v>
      </c>
      <c r="AT15" s="170">
        <v>747107</v>
      </c>
      <c r="AU15" s="201"/>
      <c r="AX15" s="170">
        <f>SUM(AU10:AX10)</f>
        <v>728527</v>
      </c>
      <c r="BB15" s="170">
        <f>SUM(AY10:BB10)</f>
        <v>846121</v>
      </c>
      <c r="BF15" s="170">
        <f>BC10+BD10+BE10+BF10</f>
        <v>721767</v>
      </c>
      <c r="BJ15" s="170">
        <f>BG10+BH10+BI10+BJ10</f>
        <v>912543</v>
      </c>
      <c r="BN15" s="170">
        <f>BK10+BL10+BM10+BN10</f>
        <v>915512</v>
      </c>
      <c r="BR15" s="170">
        <f>BO10+BP10+BQ10+BR10</f>
        <v>944301</v>
      </c>
      <c r="BV15" s="170">
        <f>BS10+BT10+BU10+BV10</f>
        <v>878186</v>
      </c>
      <c r="BZ15" s="170">
        <f>BW10+BX10+BY10+BZ10</f>
        <v>764383</v>
      </c>
      <c r="CD15" s="170">
        <f>CA10+CB10+CC10+CD10</f>
        <v>805695</v>
      </c>
      <c r="CH15" s="170">
        <f>CE10+CF10+CG10+CH10</f>
        <v>685905</v>
      </c>
      <c r="CL15" s="170">
        <f>CI10+CJ10+CK10+CL10</f>
        <v>755935</v>
      </c>
      <c r="CN15" s="174" t="s">
        <v>267</v>
      </c>
    </row>
    <row r="16" spans="1:93" s="170" customFormat="1" ht="15" customHeight="1">
      <c r="A16" s="250" t="s">
        <v>272</v>
      </c>
      <c r="E16" s="251">
        <f t="shared" ref="E16:AJ16" si="19">(B10+C10+D10+E10)/E18</f>
        <v>0.57316651055286894</v>
      </c>
      <c r="F16" s="251">
        <f t="shared" si="19"/>
        <v>0.55948335046117237</v>
      </c>
      <c r="G16" s="251">
        <f t="shared" si="19"/>
        <v>0.55616480730931939</v>
      </c>
      <c r="H16" s="251">
        <f t="shared" si="19"/>
        <v>0.54344038300880226</v>
      </c>
      <c r="I16" s="251">
        <f t="shared" si="19"/>
        <v>0.48474065006651917</v>
      </c>
      <c r="J16" s="251">
        <f t="shared" si="19"/>
        <v>0.50686652192876658</v>
      </c>
      <c r="K16" s="251">
        <f t="shared" si="19"/>
        <v>0.52107741129831708</v>
      </c>
      <c r="L16" s="251">
        <f t="shared" si="19"/>
        <v>0.5152083629179528</v>
      </c>
      <c r="M16" s="251">
        <f t="shared" si="19"/>
        <v>0.56917476213420448</v>
      </c>
      <c r="N16" s="251">
        <f t="shared" si="19"/>
        <v>0.53601464542465871</v>
      </c>
      <c r="O16" s="251">
        <f t="shared" si="19"/>
        <v>0.55313745200608688</v>
      </c>
      <c r="P16" s="251">
        <f t="shared" si="19"/>
        <v>0.56559796616678615</v>
      </c>
      <c r="Q16" s="251">
        <f t="shared" si="19"/>
        <v>0.56119028708102914</v>
      </c>
      <c r="R16" s="251">
        <f t="shared" si="19"/>
        <v>0.64911919382433014</v>
      </c>
      <c r="S16" s="251">
        <f t="shared" si="19"/>
        <v>0.64023769258799013</v>
      </c>
      <c r="T16" s="251">
        <f t="shared" si="19"/>
        <v>0.68195789344887525</v>
      </c>
      <c r="U16" s="251">
        <f t="shared" si="19"/>
        <v>0.7594111457755337</v>
      </c>
      <c r="V16" s="251">
        <f t="shared" si="19"/>
        <v>0.76583834616446889</v>
      </c>
      <c r="W16" s="251">
        <f t="shared" si="19"/>
        <v>0.75730031838981438</v>
      </c>
      <c r="X16" s="251">
        <f t="shared" si="19"/>
        <v>0.70540204629317527</v>
      </c>
      <c r="Y16" s="251">
        <f t="shared" si="19"/>
        <v>0.64816702007535587</v>
      </c>
      <c r="Z16" s="251">
        <f t="shared" si="19"/>
        <v>0.57860859710927315</v>
      </c>
      <c r="AA16" s="251">
        <f t="shared" si="19"/>
        <v>0.5744527103094309</v>
      </c>
      <c r="AB16" s="251">
        <f t="shared" si="19"/>
        <v>0.59379028786369781</v>
      </c>
      <c r="AC16" s="251">
        <f t="shared" si="19"/>
        <v>0.60717861679335494</v>
      </c>
      <c r="AD16" s="251">
        <f t="shared" si="19"/>
        <v>0.64837101750838366</v>
      </c>
      <c r="AE16" s="251">
        <f t="shared" si="19"/>
        <v>0.66373569346187167</v>
      </c>
      <c r="AF16" s="251">
        <f t="shared" si="19"/>
        <v>0.67334304593464755</v>
      </c>
      <c r="AG16" s="251">
        <f t="shared" si="19"/>
        <v>0.69174097981570826</v>
      </c>
      <c r="AH16" s="251">
        <f t="shared" si="19"/>
        <v>0.72799783672955953</v>
      </c>
      <c r="AI16" s="251">
        <f t="shared" si="19"/>
        <v>0.72020781469856043</v>
      </c>
      <c r="AJ16" s="251">
        <f t="shared" si="19"/>
        <v>0.70002157018534839</v>
      </c>
      <c r="AK16" s="251">
        <f t="shared" ref="AK16:BP16" si="20">(AH10+AI10+AJ10+AK10)/AK18</f>
        <v>0.67896323243245005</v>
      </c>
      <c r="AL16" s="251">
        <f t="shared" si="20"/>
        <v>0.63580995436864118</v>
      </c>
      <c r="AM16" s="251">
        <f t="shared" si="20"/>
        <v>0.64092491500968873</v>
      </c>
      <c r="AN16" s="251">
        <f t="shared" si="20"/>
        <v>0.65087883300388882</v>
      </c>
      <c r="AO16" s="251">
        <f t="shared" si="20"/>
        <v>0.63759989646973847</v>
      </c>
      <c r="AP16" s="251">
        <f t="shared" si="20"/>
        <v>0.64042772553507721</v>
      </c>
      <c r="AQ16" s="251">
        <f t="shared" si="20"/>
        <v>0.63790841087601213</v>
      </c>
      <c r="AR16" s="251">
        <f t="shared" si="20"/>
        <v>0.63135294091197269</v>
      </c>
      <c r="AS16" s="251">
        <f t="shared" si="20"/>
        <v>0.64094903255954938</v>
      </c>
      <c r="AT16" s="251">
        <f t="shared" si="20"/>
        <v>0.62070223188174611</v>
      </c>
      <c r="AU16" s="251">
        <f t="shared" si="20"/>
        <v>0.60770310361058688</v>
      </c>
      <c r="AV16" s="251">
        <f t="shared" si="20"/>
        <v>0.62102231135405794</v>
      </c>
      <c r="AW16" s="251">
        <f t="shared" si="20"/>
        <v>0.62213750536937795</v>
      </c>
      <c r="AX16" s="251">
        <f t="shared" si="20"/>
        <v>0.63123915842519251</v>
      </c>
      <c r="AY16" s="251">
        <f t="shared" si="20"/>
        <v>0.63173200285103348</v>
      </c>
      <c r="AZ16" s="251">
        <f t="shared" si="20"/>
        <v>0.62306030707217464</v>
      </c>
      <c r="BA16" s="251">
        <f t="shared" si="20"/>
        <v>0.63455303067883062</v>
      </c>
      <c r="BB16" s="251">
        <f t="shared" si="20"/>
        <v>0.64419930472969578</v>
      </c>
      <c r="BC16" s="251">
        <f t="shared" si="20"/>
        <v>0.6554891393767055</v>
      </c>
      <c r="BD16" s="251">
        <f t="shared" si="20"/>
        <v>0.66046157660460758</v>
      </c>
      <c r="BE16" s="251">
        <f t="shared" si="20"/>
        <v>0.66486598813381559</v>
      </c>
      <c r="BF16" s="251">
        <f t="shared" si="20"/>
        <v>0.66613414107405888</v>
      </c>
      <c r="BG16" s="251">
        <f t="shared" si="20"/>
        <v>0.65518243877975613</v>
      </c>
      <c r="BH16" s="251">
        <f t="shared" si="20"/>
        <v>0.65313462105472475</v>
      </c>
      <c r="BI16" s="251">
        <f t="shared" si="20"/>
        <v>0.66252780436075831</v>
      </c>
      <c r="BJ16" s="251">
        <f t="shared" si="20"/>
        <v>0.67217715471426265</v>
      </c>
      <c r="BK16" s="251">
        <f t="shared" si="20"/>
        <v>0.67813003057204457</v>
      </c>
      <c r="BL16" s="251">
        <f t="shared" si="20"/>
        <v>0.69180246157017766</v>
      </c>
      <c r="BM16" s="251">
        <f t="shared" si="20"/>
        <v>0.67595941513849478</v>
      </c>
      <c r="BN16" s="251">
        <f t="shared" si="20"/>
        <v>0.67028049644766974</v>
      </c>
      <c r="BO16" s="251">
        <f t="shared" si="20"/>
        <v>0.67729777997325347</v>
      </c>
      <c r="BP16" s="251">
        <f t="shared" si="20"/>
        <v>0.67553780573989985</v>
      </c>
      <c r="BQ16" s="251">
        <f>(BN10+BO10+BP10+BQ10)/BQ18</f>
        <v>0.68642558062628012</v>
      </c>
      <c r="BR16" s="251">
        <f t="shared" ref="BR16:CA16" si="21">(BO10+BP10+BQ10+BR10)/BR18</f>
        <v>0.68147812542691577</v>
      </c>
      <c r="BS16" s="251">
        <f t="shared" si="21"/>
        <v>0.67737921869616702</v>
      </c>
      <c r="BT16" s="251">
        <f t="shared" si="21"/>
        <v>0.66681386790625607</v>
      </c>
      <c r="BU16" s="251">
        <f t="shared" si="21"/>
        <v>0.67041538499139341</v>
      </c>
      <c r="BV16" s="251">
        <f t="shared" si="21"/>
        <v>0.63702446366719256</v>
      </c>
      <c r="BW16" s="251">
        <f t="shared" si="21"/>
        <v>0.62788738113030718</v>
      </c>
      <c r="BX16" s="251">
        <f t="shared" si="21"/>
        <v>0.63898205154184617</v>
      </c>
      <c r="BY16" s="251">
        <f t="shared" si="21"/>
        <v>0.63840820706308909</v>
      </c>
      <c r="BZ16" s="251">
        <f t="shared" si="21"/>
        <v>0.65758540864327675</v>
      </c>
      <c r="CA16" s="251">
        <f t="shared" si="21"/>
        <v>0.66265385778025798</v>
      </c>
      <c r="CB16" s="251">
        <f t="shared" ref="CB16:CM16" si="22">(BY10+BZ10+CA10+CB10)/CB18</f>
        <v>0.67509073608494741</v>
      </c>
      <c r="CC16" s="251">
        <f t="shared" si="22"/>
        <v>0.65218173501361232</v>
      </c>
      <c r="CD16" s="251">
        <f t="shared" si="22"/>
        <v>0.65653278622199918</v>
      </c>
      <c r="CE16" s="251">
        <f t="shared" si="22"/>
        <v>0.66174204833126782</v>
      </c>
      <c r="CF16" s="251">
        <f t="shared" si="22"/>
        <v>0.65485061933365818</v>
      </c>
      <c r="CG16" s="251">
        <f t="shared" si="22"/>
        <v>0.66424297770500063</v>
      </c>
      <c r="CH16" s="251">
        <f t="shared" si="22"/>
        <v>0.5828421825449428</v>
      </c>
      <c r="CI16" s="251">
        <f t="shared" si="22"/>
        <v>0.57351583761867519</v>
      </c>
      <c r="CJ16" s="251">
        <f t="shared" si="22"/>
        <v>0.56840822274724545</v>
      </c>
      <c r="CK16" s="251">
        <f t="shared" si="22"/>
        <v>0.57117076888322027</v>
      </c>
      <c r="CL16" s="251">
        <f t="shared" si="22"/>
        <v>0.64089009993997492</v>
      </c>
      <c r="CM16" s="251">
        <f t="shared" si="22"/>
        <v>0.64257907201859676</v>
      </c>
      <c r="CN16" s="174" t="s">
        <v>130</v>
      </c>
    </row>
    <row r="17" spans="1:92" s="170" customFormat="1">
      <c r="A17" s="249" t="s">
        <v>198</v>
      </c>
      <c r="B17" s="206"/>
      <c r="C17" s="206"/>
      <c r="D17" s="206"/>
      <c r="E17" s="206"/>
      <c r="F17" s="206"/>
      <c r="G17" s="206"/>
      <c r="H17" s="206">
        <f>SUM(E12:H12)</f>
        <v>717121.9</v>
      </c>
      <c r="I17" s="206"/>
      <c r="J17" s="206"/>
      <c r="K17" s="206"/>
      <c r="L17" s="206">
        <f>SUM(I12:L12)</f>
        <v>842921.1</v>
      </c>
      <c r="M17" s="206"/>
      <c r="N17" s="206"/>
      <c r="O17" s="206"/>
      <c r="P17" s="206">
        <f>SUM(M12:P12)</f>
        <v>892619.9</v>
      </c>
      <c r="Q17" s="206"/>
      <c r="R17" s="206"/>
      <c r="S17" s="206"/>
      <c r="T17" s="206">
        <f>SUM(Q12:T12)</f>
        <v>848338.3</v>
      </c>
      <c r="U17" s="206"/>
      <c r="V17" s="206"/>
      <c r="W17" s="206"/>
      <c r="X17" s="206">
        <f>SUM(U12:X12)</f>
        <v>1128274.3</v>
      </c>
      <c r="Y17" s="206"/>
      <c r="Z17" s="206"/>
      <c r="AA17" s="206"/>
      <c r="AB17" s="206">
        <f>SUM(Y12:AB12)</f>
        <v>1062509.8</v>
      </c>
      <c r="AC17" s="206"/>
      <c r="AD17" s="206"/>
      <c r="AE17" s="206"/>
      <c r="AF17" s="206">
        <f>SUM(AC12:AF12)</f>
        <v>1208739</v>
      </c>
      <c r="AJ17" s="206">
        <f>SUM(AG12:AJ12)</f>
        <v>1288816</v>
      </c>
      <c r="AM17" s="201"/>
      <c r="AN17" s="252">
        <f>SUM(AK12:AN12)</f>
        <v>1291450.8160000001</v>
      </c>
      <c r="AR17" s="206">
        <f>SUM(AO12:AR12)</f>
        <v>1334382</v>
      </c>
      <c r="AS17" s="206"/>
      <c r="AT17" s="206"/>
      <c r="AU17" s="201"/>
      <c r="AV17" s="206">
        <f>SUM(AS12:AV12)</f>
        <v>1154345</v>
      </c>
      <c r="AW17" s="206"/>
      <c r="AX17" s="206"/>
      <c r="AZ17" s="206">
        <f>AZ18</f>
        <v>1244398</v>
      </c>
      <c r="BD17" s="206">
        <f>BD18</f>
        <v>1218086</v>
      </c>
      <c r="BE17" s="206"/>
      <c r="BF17" s="206"/>
      <c r="BG17" s="206"/>
      <c r="BH17" s="206">
        <f>BH18</f>
        <v>1166712</v>
      </c>
      <c r="BI17" s="206"/>
      <c r="BJ17" s="206"/>
      <c r="BK17" s="206"/>
      <c r="BL17" s="206">
        <f>BL18</f>
        <v>1416413</v>
      </c>
      <c r="BM17" s="206"/>
      <c r="BN17" s="206"/>
      <c r="BO17" s="206"/>
      <c r="BP17" s="206">
        <f>BM12+BN12+BO12+BP12</f>
        <v>1309008.8999999999</v>
      </c>
      <c r="BQ17" s="206"/>
      <c r="BR17" s="206"/>
      <c r="BS17" s="206"/>
      <c r="BT17" s="206">
        <f>BQ12+BR12+BS12+BT12</f>
        <v>1419825</v>
      </c>
      <c r="BU17" s="206"/>
      <c r="BV17" s="206"/>
      <c r="BW17" s="206"/>
      <c r="BX17" s="206">
        <f>BU12+BV12+BW12+BX12</f>
        <v>1282076.7</v>
      </c>
      <c r="BY17" s="206"/>
      <c r="BZ17" s="206"/>
      <c r="CA17" s="206"/>
      <c r="CB17" s="206">
        <f>BY12+BZ12+CA12+CB12</f>
        <v>1177783.8999999999</v>
      </c>
      <c r="CC17" s="206"/>
      <c r="CD17" s="206"/>
      <c r="CE17" s="206"/>
      <c r="CF17" s="206">
        <f>CC12+CD12+CE12+CF12</f>
        <v>1278713</v>
      </c>
      <c r="CG17" s="206"/>
      <c r="CH17" s="206"/>
      <c r="CI17" s="206"/>
      <c r="CJ17" s="206">
        <f>CG12+CH12+CI12+CJ12</f>
        <v>1132225</v>
      </c>
      <c r="CK17" s="206"/>
      <c r="CL17" s="206"/>
      <c r="CM17" s="206"/>
      <c r="CN17" s="249" t="s">
        <v>198</v>
      </c>
    </row>
    <row r="18" spans="1:92" ht="12.75" thickBot="1">
      <c r="A18" s="253" t="s">
        <v>142</v>
      </c>
      <c r="B18" s="254"/>
      <c r="C18" s="254"/>
      <c r="D18" s="254"/>
      <c r="E18" s="177">
        <f t="shared" ref="E18:AL18" si="23">SUM(B12:E12)</f>
        <v>707817</v>
      </c>
      <c r="F18" s="177">
        <f t="shared" si="23"/>
        <v>656630.80000000005</v>
      </c>
      <c r="G18" s="177">
        <f t="shared" si="23"/>
        <v>658184.4</v>
      </c>
      <c r="H18" s="177">
        <f t="shared" si="23"/>
        <v>717121.9</v>
      </c>
      <c r="I18" s="177">
        <f t="shared" si="23"/>
        <v>748957.2</v>
      </c>
      <c r="J18" s="177">
        <f t="shared" si="23"/>
        <v>820794</v>
      </c>
      <c r="K18" s="177">
        <f t="shared" si="23"/>
        <v>842114.79999999993</v>
      </c>
      <c r="L18" s="177">
        <f t="shared" si="23"/>
        <v>842921.1</v>
      </c>
      <c r="M18" s="177">
        <f t="shared" si="23"/>
        <v>800283.2</v>
      </c>
      <c r="N18" s="177">
        <f t="shared" si="23"/>
        <v>926924.3</v>
      </c>
      <c r="O18" s="177">
        <f t="shared" si="23"/>
        <v>937098</v>
      </c>
      <c r="P18" s="177">
        <f t="shared" si="23"/>
        <v>892619.9</v>
      </c>
      <c r="Q18" s="177">
        <f t="shared" si="23"/>
        <v>908896.7</v>
      </c>
      <c r="R18" s="177">
        <f t="shared" si="23"/>
        <v>774937.8</v>
      </c>
      <c r="S18" s="177">
        <f t="shared" si="23"/>
        <v>749203</v>
      </c>
      <c r="T18" s="177">
        <f t="shared" si="23"/>
        <v>848338.3</v>
      </c>
      <c r="U18" s="177">
        <f t="shared" si="23"/>
        <v>979678.8</v>
      </c>
      <c r="V18" s="177">
        <f t="shared" si="23"/>
        <v>1109735.5</v>
      </c>
      <c r="W18" s="177">
        <f t="shared" si="23"/>
        <v>1145388.3999999999</v>
      </c>
      <c r="X18" s="177">
        <f t="shared" si="23"/>
        <v>1128274.3</v>
      </c>
      <c r="Y18" s="177">
        <f t="shared" si="23"/>
        <v>1082835.1000000001</v>
      </c>
      <c r="Z18" s="177">
        <f t="shared" si="23"/>
        <v>1003844.3999999999</v>
      </c>
      <c r="AA18" s="177">
        <f t="shared" si="23"/>
        <v>997072.5</v>
      </c>
      <c r="AB18" s="177">
        <f t="shared" si="23"/>
        <v>1062509.8</v>
      </c>
      <c r="AC18" s="177">
        <f t="shared" si="23"/>
        <v>1100602</v>
      </c>
      <c r="AD18" s="177">
        <f t="shared" si="23"/>
        <v>1247990.7</v>
      </c>
      <c r="AE18" s="177">
        <f t="shared" si="23"/>
        <v>1238655.7</v>
      </c>
      <c r="AF18" s="177">
        <f t="shared" si="23"/>
        <v>1208739</v>
      </c>
      <c r="AG18" s="177">
        <f t="shared" si="23"/>
        <v>1225557</v>
      </c>
      <c r="AH18" s="177">
        <f t="shared" si="23"/>
        <v>1168601</v>
      </c>
      <c r="AI18" s="177">
        <f t="shared" si="23"/>
        <v>1219548</v>
      </c>
      <c r="AJ18" s="177">
        <f t="shared" si="23"/>
        <v>1288816</v>
      </c>
      <c r="AK18" s="177">
        <f t="shared" si="23"/>
        <v>1228202</v>
      </c>
      <c r="AL18" s="177">
        <f t="shared" si="23"/>
        <v>1199853.8160000001</v>
      </c>
      <c r="AM18" s="177">
        <f t="shared" ref="AM18:AT18" si="24">SUM(AJ12:AM12)</f>
        <v>1262729.8160000001</v>
      </c>
      <c r="AN18" s="177">
        <f t="shared" si="24"/>
        <v>1291450.8160000001</v>
      </c>
      <c r="AO18" s="177">
        <f t="shared" si="24"/>
        <v>1362708.8160000001</v>
      </c>
      <c r="AP18" s="177">
        <f t="shared" si="24"/>
        <v>1427738</v>
      </c>
      <c r="AQ18" s="246">
        <f t="shared" si="24"/>
        <v>1400734</v>
      </c>
      <c r="AR18" s="246">
        <f t="shared" si="24"/>
        <v>1334382</v>
      </c>
      <c r="AS18" s="246">
        <f t="shared" si="24"/>
        <v>1266848</v>
      </c>
      <c r="AT18" s="247">
        <f t="shared" si="24"/>
        <v>1203648</v>
      </c>
      <c r="AU18" s="247">
        <f t="shared" ref="AU18:BA18" si="25">+SUM(AR12:AU12)</f>
        <v>1157845</v>
      </c>
      <c r="AV18" s="247">
        <f t="shared" si="25"/>
        <v>1154345</v>
      </c>
      <c r="AW18" s="247">
        <f t="shared" si="25"/>
        <v>1136072</v>
      </c>
      <c r="AX18" s="247">
        <f t="shared" si="25"/>
        <v>1154122</v>
      </c>
      <c r="AY18" s="247">
        <f t="shared" si="25"/>
        <v>1192550</v>
      </c>
      <c r="AZ18" s="247">
        <f t="shared" si="25"/>
        <v>1244398</v>
      </c>
      <c r="BA18" s="247">
        <f t="shared" si="25"/>
        <v>1330494</v>
      </c>
      <c r="BB18" s="255">
        <f t="shared" ref="BB18:CM18" si="26">+SUM(AY12:BB12)</f>
        <v>1313446</v>
      </c>
      <c r="BC18" s="255">
        <f t="shared" si="26"/>
        <v>1288508</v>
      </c>
      <c r="BD18" s="255">
        <f t="shared" si="26"/>
        <v>1218086</v>
      </c>
      <c r="BE18" s="255">
        <f t="shared" si="26"/>
        <v>1126057</v>
      </c>
      <c r="BF18" s="255">
        <f t="shared" si="26"/>
        <v>1083516</v>
      </c>
      <c r="BG18" s="255">
        <f t="shared" si="26"/>
        <v>1100698</v>
      </c>
      <c r="BH18" s="255">
        <f t="shared" si="26"/>
        <v>1166712</v>
      </c>
      <c r="BI18" s="255">
        <f t="shared" si="26"/>
        <v>1237216</v>
      </c>
      <c r="BJ18" s="255">
        <f t="shared" si="26"/>
        <v>1357593</v>
      </c>
      <c r="BK18" s="255">
        <f t="shared" si="26"/>
        <v>1373477</v>
      </c>
      <c r="BL18" s="255">
        <f t="shared" si="26"/>
        <v>1416413</v>
      </c>
      <c r="BM18" s="255">
        <f t="shared" si="26"/>
        <v>1394313</v>
      </c>
      <c r="BN18" s="255">
        <f t="shared" si="26"/>
        <v>1365864</v>
      </c>
      <c r="BO18" s="255">
        <f t="shared" si="26"/>
        <v>1358753.9</v>
      </c>
      <c r="BP18" s="255">
        <f t="shared" si="26"/>
        <v>1309008.8999999999</v>
      </c>
      <c r="BQ18" s="255">
        <f t="shared" si="26"/>
        <v>1323557.8999999999</v>
      </c>
      <c r="BR18" s="255">
        <f t="shared" si="26"/>
        <v>1385665.9</v>
      </c>
      <c r="BS18" s="255">
        <f t="shared" si="26"/>
        <v>1381588</v>
      </c>
      <c r="BT18" s="255">
        <f t="shared" si="26"/>
        <v>1419825</v>
      </c>
      <c r="BU18" s="255">
        <f t="shared" si="26"/>
        <v>1432045</v>
      </c>
      <c r="BV18" s="255">
        <f t="shared" si="26"/>
        <v>1378575</v>
      </c>
      <c r="BW18" s="255">
        <f t="shared" si="26"/>
        <v>1374299</v>
      </c>
      <c r="BX18" s="255">
        <f t="shared" si="26"/>
        <v>1282076.7</v>
      </c>
      <c r="BY18" s="255">
        <f t="shared" si="26"/>
        <v>1195009.7</v>
      </c>
      <c r="BZ18" s="255">
        <f t="shared" si="26"/>
        <v>1162408.7</v>
      </c>
      <c r="CA18" s="255">
        <f t="shared" si="26"/>
        <v>1202831.5999999999</v>
      </c>
      <c r="CB18" s="255">
        <f t="shared" si="26"/>
        <v>1177783.8999999999</v>
      </c>
      <c r="CC18" s="255">
        <f t="shared" si="26"/>
        <v>1181176.8999999999</v>
      </c>
      <c r="CD18" s="255">
        <f t="shared" si="26"/>
        <v>1227196.8999999999</v>
      </c>
      <c r="CE18" s="255">
        <f t="shared" si="26"/>
        <v>1247474</v>
      </c>
      <c r="CF18" s="255">
        <f t="shared" si="26"/>
        <v>1278713</v>
      </c>
      <c r="CG18" s="255">
        <f t="shared" si="26"/>
        <v>1270240</v>
      </c>
      <c r="CH18" s="255">
        <f t="shared" si="26"/>
        <v>1176828</v>
      </c>
      <c r="CI18" s="255">
        <f t="shared" si="26"/>
        <v>1134293</v>
      </c>
      <c r="CJ18" s="255">
        <f t="shared" si="26"/>
        <v>1132225</v>
      </c>
      <c r="CK18" s="255">
        <f t="shared" si="26"/>
        <v>1137637</v>
      </c>
      <c r="CL18" s="255">
        <f t="shared" si="26"/>
        <v>1179508</v>
      </c>
      <c r="CM18" s="255">
        <f t="shared" si="26"/>
        <v>1142566</v>
      </c>
      <c r="CN18" s="253" t="s">
        <v>199</v>
      </c>
    </row>
    <row r="19" spans="1:92" ht="12.75" thickTop="1">
      <c r="CN19" s="256"/>
    </row>
    <row r="20" spans="1:92">
      <c r="AQ20" s="199" t="s">
        <v>14</v>
      </c>
      <c r="CN20" s="257"/>
    </row>
    <row r="21" spans="1:92" ht="12.75" thickBot="1">
      <c r="R21" s="27"/>
      <c r="S21" s="27"/>
      <c r="T21" s="27"/>
      <c r="AV21" s="258"/>
      <c r="AW21" s="258"/>
      <c r="AX21" s="258"/>
      <c r="AY21" s="259"/>
      <c r="AZ21" s="259"/>
      <c r="BA21" s="259"/>
      <c r="BB21" s="259"/>
      <c r="BC21" s="259"/>
      <c r="BD21" s="259"/>
      <c r="BE21" s="259"/>
      <c r="BF21" s="259"/>
      <c r="BG21" s="259"/>
      <c r="BH21" s="259"/>
      <c r="BI21" s="259"/>
      <c r="BJ21" s="259"/>
      <c r="BK21" s="259"/>
      <c r="BL21" s="259"/>
      <c r="BM21" s="259"/>
      <c r="BN21" s="259"/>
      <c r="BO21" s="259"/>
      <c r="BP21" s="259"/>
      <c r="BQ21" s="259"/>
      <c r="BR21" s="259"/>
      <c r="BS21" s="259"/>
      <c r="BT21" s="259"/>
      <c r="BU21" s="259"/>
      <c r="BV21" s="259"/>
      <c r="BW21" s="259"/>
      <c r="BX21" s="259"/>
      <c r="BY21" s="259"/>
      <c r="BZ21" s="259"/>
      <c r="CA21" s="259"/>
      <c r="CB21" s="259"/>
      <c r="CC21" s="259"/>
      <c r="CD21" s="259"/>
      <c r="CE21" s="259"/>
      <c r="CF21" s="259"/>
      <c r="CG21" s="259"/>
      <c r="CH21" s="259"/>
      <c r="CI21" s="259"/>
      <c r="CJ21" s="259"/>
      <c r="CK21" s="259"/>
      <c r="CL21" s="259"/>
      <c r="CM21" s="259"/>
      <c r="CN21" s="260"/>
    </row>
    <row r="22" spans="1:92">
      <c r="Q22" s="261"/>
      <c r="R22" s="262"/>
      <c r="S22" s="262"/>
      <c r="T22" s="262"/>
      <c r="U22" s="263"/>
      <c r="V22" s="263"/>
      <c r="W22" s="263"/>
      <c r="X22" s="263"/>
      <c r="Y22" s="263"/>
      <c r="Z22" s="263"/>
      <c r="AA22" s="263"/>
      <c r="AB22" s="263"/>
      <c r="AC22" s="263"/>
      <c r="AD22" s="263"/>
      <c r="AE22" s="263"/>
      <c r="AF22" s="263"/>
      <c r="AG22" s="263"/>
      <c r="AH22" s="263"/>
      <c r="AI22" s="263"/>
      <c r="AJ22" s="263"/>
      <c r="AK22" s="263"/>
      <c r="AL22" s="263"/>
      <c r="AM22" s="264"/>
      <c r="AN22" s="264"/>
      <c r="AO22" s="263"/>
      <c r="AP22" s="263"/>
      <c r="AQ22" s="263"/>
      <c r="AR22" s="263"/>
      <c r="AS22" s="263"/>
      <c r="AT22" s="263"/>
      <c r="AU22" s="265"/>
      <c r="CN22" s="257"/>
    </row>
    <row r="23" spans="1:92">
      <c r="Q23" s="266"/>
      <c r="U23" s="267" t="s">
        <v>132</v>
      </c>
      <c r="V23" s="168"/>
      <c r="W23" s="168"/>
      <c r="X23" s="168"/>
      <c r="AH23" s="267" t="s">
        <v>132</v>
      </c>
      <c r="AL23" s="168"/>
      <c r="AM23" s="168"/>
      <c r="AN23" s="168"/>
      <c r="CN23" s="257"/>
    </row>
    <row r="24" spans="1:92">
      <c r="Q24" s="266"/>
      <c r="R24" s="168"/>
      <c r="S24" s="168"/>
      <c r="T24" s="168"/>
      <c r="AB24" s="268"/>
      <c r="AK24" s="168"/>
      <c r="AP24" s="199" t="s">
        <v>14</v>
      </c>
      <c r="CN24" s="269"/>
    </row>
    <row r="25" spans="1:92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0"/>
      <c r="R25" s="271"/>
      <c r="S25" s="271"/>
      <c r="T25" s="271"/>
      <c r="U25" s="271"/>
      <c r="V25" s="271"/>
      <c r="W25" s="271"/>
      <c r="X25" s="271"/>
      <c r="Y25" s="271"/>
      <c r="Z25" s="271"/>
      <c r="AA25" s="271"/>
      <c r="AB25" s="271"/>
      <c r="AC25" s="271"/>
      <c r="AD25" s="271"/>
      <c r="AE25" s="271"/>
      <c r="AF25" s="271"/>
      <c r="AG25" s="271"/>
      <c r="AH25" s="271"/>
      <c r="AI25" s="271"/>
      <c r="AJ25" s="271"/>
      <c r="AK25" s="271"/>
      <c r="AL25" s="271"/>
      <c r="AM25" s="272"/>
      <c r="AN25" s="272"/>
      <c r="AO25" s="273"/>
      <c r="AP25" s="273"/>
      <c r="AQ25" s="273"/>
      <c r="AR25" s="273"/>
      <c r="AS25" s="273"/>
      <c r="AT25" s="273"/>
      <c r="AU25" s="274"/>
      <c r="AV25" s="273"/>
      <c r="AW25" s="273"/>
      <c r="AX25" s="273"/>
      <c r="AY25" s="271"/>
      <c r="AZ25" s="271"/>
      <c r="BA25" s="271"/>
      <c r="BB25" s="275"/>
      <c r="BC25" s="275"/>
      <c r="BD25" s="275"/>
      <c r="BE25" s="275"/>
      <c r="BF25" s="275"/>
      <c r="BG25" s="275"/>
      <c r="BH25" s="275"/>
      <c r="BI25" s="275"/>
      <c r="BJ25" s="275"/>
      <c r="BK25" s="275"/>
      <c r="BL25" s="275"/>
      <c r="BM25" s="275"/>
      <c r="BN25" s="275"/>
      <c r="BO25" s="275"/>
      <c r="BP25" s="275"/>
      <c r="BQ25" s="275"/>
      <c r="BR25" s="275"/>
      <c r="BS25" s="275"/>
      <c r="BT25" s="275"/>
      <c r="BU25" s="275"/>
      <c r="BV25" s="275"/>
      <c r="BW25" s="275"/>
      <c r="BX25" s="275"/>
      <c r="BY25" s="275"/>
      <c r="BZ25" s="275"/>
      <c r="CA25" s="275"/>
      <c r="CB25" s="275"/>
      <c r="CC25" s="275"/>
      <c r="CD25" s="275"/>
      <c r="CE25" s="275"/>
      <c r="CF25" s="275"/>
      <c r="CG25" s="275"/>
      <c r="CH25" s="275"/>
      <c r="CI25" s="275"/>
      <c r="CJ25" s="275"/>
      <c r="CK25" s="275"/>
      <c r="CL25" s="275"/>
      <c r="CM25" s="275"/>
      <c r="CN25" s="163" t="s">
        <v>286</v>
      </c>
    </row>
    <row r="26" spans="1:92" ht="24">
      <c r="Q26" s="276" t="s">
        <v>93</v>
      </c>
      <c r="R26" s="277">
        <f t="shared" ref="R26:AL26" si="27">SUM(O9:R9)</f>
        <v>271910.8</v>
      </c>
      <c r="S26" s="278">
        <f t="shared" si="27"/>
        <v>269535</v>
      </c>
      <c r="T26" s="278">
        <f t="shared" si="27"/>
        <v>269807.3</v>
      </c>
      <c r="U26" s="278">
        <f t="shared" si="27"/>
        <v>235699.8</v>
      </c>
      <c r="V26" s="278">
        <f t="shared" si="27"/>
        <v>259857.5</v>
      </c>
      <c r="W26" s="278">
        <f t="shared" si="27"/>
        <v>277985.40000000002</v>
      </c>
      <c r="X26" s="278">
        <f t="shared" si="27"/>
        <v>332387.3</v>
      </c>
      <c r="Y26" s="278">
        <f t="shared" si="27"/>
        <v>380977.1</v>
      </c>
      <c r="Z26" s="278">
        <f t="shared" si="27"/>
        <v>423011.39999999997</v>
      </c>
      <c r="AA26" s="278">
        <f t="shared" si="27"/>
        <v>424301.5</v>
      </c>
      <c r="AB26" s="278">
        <f t="shared" si="27"/>
        <v>431601.8</v>
      </c>
      <c r="AC26" s="278">
        <f t="shared" si="27"/>
        <v>432340</v>
      </c>
      <c r="AD26" s="278">
        <f t="shared" si="27"/>
        <v>438829.7</v>
      </c>
      <c r="AE26" s="278">
        <f t="shared" si="27"/>
        <v>416515.7</v>
      </c>
      <c r="AF26" s="278">
        <f t="shared" si="27"/>
        <v>394843</v>
      </c>
      <c r="AG26" s="278">
        <f t="shared" si="27"/>
        <v>377789</v>
      </c>
      <c r="AH26" s="278">
        <f t="shared" si="27"/>
        <v>317862</v>
      </c>
      <c r="AI26" s="278">
        <f t="shared" si="27"/>
        <v>341220</v>
      </c>
      <c r="AJ26" s="278">
        <f t="shared" si="27"/>
        <v>386617</v>
      </c>
      <c r="AK26" s="278">
        <f t="shared" si="27"/>
        <v>394298</v>
      </c>
      <c r="AL26" s="278">
        <f t="shared" si="27"/>
        <v>436974.81599999999</v>
      </c>
      <c r="AM26" s="274">
        <f t="shared" ref="AM26:AR26" si="28">SUM(AJ9:AM9)</f>
        <v>453414.81599999999</v>
      </c>
      <c r="AN26" s="274">
        <f t="shared" si="28"/>
        <v>450872.81599999999</v>
      </c>
      <c r="AO26" s="274">
        <f t="shared" si="28"/>
        <v>493845.81599999999</v>
      </c>
      <c r="AP26" s="274">
        <f t="shared" si="28"/>
        <v>513375</v>
      </c>
      <c r="AQ26" s="274">
        <f t="shared" si="28"/>
        <v>507194</v>
      </c>
      <c r="AR26" s="274">
        <f t="shared" si="28"/>
        <v>491916</v>
      </c>
      <c r="AS26" s="278">
        <f>SUM(AP9:AS9)</f>
        <v>454863</v>
      </c>
      <c r="AT26" s="278">
        <f>+SUM(AQ9:AT9)</f>
        <v>456541</v>
      </c>
      <c r="AU26" s="274">
        <f t="shared" ref="AU26:BB26" si="29">SUM(AR9:AU9)</f>
        <v>454219</v>
      </c>
      <c r="AV26" s="278">
        <f t="shared" si="29"/>
        <v>437471</v>
      </c>
      <c r="AW26" s="278">
        <f t="shared" si="29"/>
        <v>429279</v>
      </c>
      <c r="AX26" s="278">
        <f t="shared" si="29"/>
        <v>425595</v>
      </c>
      <c r="AY26" s="278">
        <f t="shared" si="29"/>
        <v>439178</v>
      </c>
      <c r="AZ26" s="278">
        <f t="shared" si="29"/>
        <v>469063</v>
      </c>
      <c r="BA26" s="278">
        <f t="shared" si="29"/>
        <v>486225</v>
      </c>
      <c r="BB26" s="170">
        <f t="shared" si="29"/>
        <v>467325</v>
      </c>
      <c r="BC26" s="170">
        <f t="shared" ref="BC26:CM26" si="30">SUM(AZ9:BC9)</f>
        <v>443905</v>
      </c>
      <c r="BD26" s="170">
        <f t="shared" si="30"/>
        <v>413587</v>
      </c>
      <c r="BE26" s="170">
        <f t="shared" si="30"/>
        <v>377380</v>
      </c>
      <c r="BF26" s="170">
        <f t="shared" si="30"/>
        <v>361749</v>
      </c>
      <c r="BG26" s="170">
        <f t="shared" si="30"/>
        <v>379540</v>
      </c>
      <c r="BH26" s="170">
        <f t="shared" si="30"/>
        <v>404692</v>
      </c>
      <c r="BI26" s="170">
        <f t="shared" si="30"/>
        <v>417526</v>
      </c>
      <c r="BJ26" s="170">
        <f t="shared" si="30"/>
        <v>445050</v>
      </c>
      <c r="BK26" s="170">
        <f t="shared" si="30"/>
        <v>442081</v>
      </c>
      <c r="BL26" s="170">
        <f t="shared" si="30"/>
        <v>436535</v>
      </c>
      <c r="BM26" s="170">
        <f t="shared" si="30"/>
        <v>451814</v>
      </c>
      <c r="BN26" s="170">
        <f t="shared" si="30"/>
        <v>450352</v>
      </c>
      <c r="BO26" s="170">
        <f t="shared" si="30"/>
        <v>438472.9</v>
      </c>
      <c r="BP26" s="170">
        <f t="shared" si="30"/>
        <v>424723.9</v>
      </c>
      <c r="BQ26" s="170">
        <f t="shared" si="30"/>
        <v>415033.9</v>
      </c>
      <c r="BR26" s="170">
        <f t="shared" si="30"/>
        <v>441364.9</v>
      </c>
      <c r="BS26" s="170">
        <f t="shared" si="30"/>
        <v>445729</v>
      </c>
      <c r="BT26" s="170">
        <f t="shared" si="30"/>
        <v>473066</v>
      </c>
      <c r="BU26" s="170">
        <f t="shared" si="30"/>
        <v>471980</v>
      </c>
      <c r="BV26" s="170">
        <f t="shared" si="30"/>
        <v>500389</v>
      </c>
      <c r="BW26" s="170">
        <f t="shared" si="30"/>
        <v>511394</v>
      </c>
      <c r="BX26" s="170">
        <f t="shared" si="30"/>
        <v>462852.7</v>
      </c>
      <c r="BY26" s="170">
        <f t="shared" si="30"/>
        <v>432105.7</v>
      </c>
      <c r="BZ26" s="170">
        <f t="shared" si="30"/>
        <v>398025.7</v>
      </c>
      <c r="CA26" s="170">
        <f t="shared" si="30"/>
        <v>405770.6</v>
      </c>
      <c r="CB26" s="170">
        <f t="shared" si="30"/>
        <v>382672.9</v>
      </c>
      <c r="CC26" s="170">
        <f t="shared" si="30"/>
        <v>410834.9</v>
      </c>
      <c r="CD26" s="170">
        <f t="shared" si="30"/>
        <v>421501.9</v>
      </c>
      <c r="CE26" s="170">
        <f t="shared" si="30"/>
        <v>421968</v>
      </c>
      <c r="CF26" s="170">
        <f t="shared" si="30"/>
        <v>441347</v>
      </c>
      <c r="CG26" s="170">
        <f t="shared" si="30"/>
        <v>426492</v>
      </c>
      <c r="CH26" s="170">
        <f t="shared" si="30"/>
        <v>490923</v>
      </c>
      <c r="CI26" s="170">
        <f t="shared" si="30"/>
        <v>483758</v>
      </c>
      <c r="CJ26" s="170">
        <f t="shared" si="30"/>
        <v>488659</v>
      </c>
      <c r="CK26" s="170">
        <f t="shared" si="30"/>
        <v>487852</v>
      </c>
      <c r="CL26" s="170">
        <f t="shared" si="30"/>
        <v>423573</v>
      </c>
      <c r="CM26" s="170">
        <f t="shared" si="30"/>
        <v>408377</v>
      </c>
      <c r="CN26" s="239" t="s">
        <v>268</v>
      </c>
    </row>
    <row r="27" spans="1:92">
      <c r="Q27" s="253" t="s">
        <v>287</v>
      </c>
      <c r="V27" s="279">
        <f t="shared" ref="V27:AL27" si="31">(V26/R26)*1 -1</f>
        <v>-4.4328139963546787E-2</v>
      </c>
      <c r="W27" s="279">
        <f t="shared" si="31"/>
        <v>3.1351772497078434E-2</v>
      </c>
      <c r="X27" s="279">
        <f t="shared" si="31"/>
        <v>0.23194331658187162</v>
      </c>
      <c r="Y27" s="279">
        <f t="shared" si="31"/>
        <v>0.61636581787511058</v>
      </c>
      <c r="Z27" s="279">
        <f t="shared" si="31"/>
        <v>0.62785911509192527</v>
      </c>
      <c r="AA27" s="279">
        <f t="shared" si="31"/>
        <v>0.52634454903027272</v>
      </c>
      <c r="AB27" s="279">
        <f t="shared" si="31"/>
        <v>0.29849064630327327</v>
      </c>
      <c r="AC27" s="279">
        <f t="shared" si="31"/>
        <v>0.13481886444093361</v>
      </c>
      <c r="AD27" s="279">
        <f t="shared" si="31"/>
        <v>3.7394500479183357E-2</v>
      </c>
      <c r="AE27" s="279">
        <f t="shared" si="31"/>
        <v>-1.8349687663135716E-2</v>
      </c>
      <c r="AF27" s="279">
        <f t="shared" si="31"/>
        <v>-8.5168319501911283E-2</v>
      </c>
      <c r="AG27" s="279">
        <f t="shared" si="31"/>
        <v>-0.1261761576536985</v>
      </c>
      <c r="AH27" s="279">
        <f t="shared" si="31"/>
        <v>-0.27565978328267204</v>
      </c>
      <c r="AI27" s="279">
        <f t="shared" si="31"/>
        <v>-0.18077517846266067</v>
      </c>
      <c r="AJ27" s="279">
        <f t="shared" si="31"/>
        <v>-2.0833597151272754E-2</v>
      </c>
      <c r="AK27" s="279">
        <f t="shared" si="31"/>
        <v>4.3698996000412826E-2</v>
      </c>
      <c r="AL27" s="279">
        <f t="shared" si="31"/>
        <v>0.37473122298355888</v>
      </c>
      <c r="AM27" s="280">
        <f>(AM26/AI26)*1-1</f>
        <v>0.32880492350975898</v>
      </c>
      <c r="AN27" s="280">
        <f>(AN26/AJ26)*1-1</f>
        <v>0.16620018260966285</v>
      </c>
      <c r="AO27" s="280">
        <f>(AO26/AK26)*1-1</f>
        <v>0.25246847815611551</v>
      </c>
      <c r="AP27" s="280">
        <f>(AP26/AL26)*1-1</f>
        <v>0.17483887217884897</v>
      </c>
      <c r="AQ27" s="280">
        <f>(AQ26/AN26)*1-1</f>
        <v>0.12491590089565308</v>
      </c>
      <c r="AR27" s="280">
        <f>(AR26/AO26)*1-1</f>
        <v>-3.9077297761291874E-3</v>
      </c>
      <c r="AS27" s="280">
        <f t="shared" ref="AS27:BB27" si="32">+(AS26/AP26)*1-1</f>
        <v>-0.11397516435354271</v>
      </c>
      <c r="AT27" s="280">
        <f t="shared" si="32"/>
        <v>-9.9869083624806287E-2</v>
      </c>
      <c r="AU27" s="280">
        <f t="shared" si="32"/>
        <v>-7.6633002382520576E-2</v>
      </c>
      <c r="AV27" s="280">
        <f t="shared" si="32"/>
        <v>-3.8235688547980429E-2</v>
      </c>
      <c r="AW27" s="280">
        <f t="shared" si="32"/>
        <v>-5.971424253243407E-2</v>
      </c>
      <c r="AX27" s="280">
        <f t="shared" si="32"/>
        <v>-6.3018059570383422E-2</v>
      </c>
      <c r="AY27" s="280">
        <f t="shared" si="32"/>
        <v>3.9019729307772089E-3</v>
      </c>
      <c r="AZ27" s="280">
        <f t="shared" si="32"/>
        <v>9.2676324721218561E-2</v>
      </c>
      <c r="BA27" s="280">
        <f t="shared" si="32"/>
        <v>0.14245938039685613</v>
      </c>
      <c r="BB27" s="280">
        <f t="shared" si="32"/>
        <v>6.4090186666909466E-2</v>
      </c>
      <c r="BC27" s="280">
        <f t="shared" ref="BC27:CM27" si="33">+(BC26/AZ26)*1-1</f>
        <v>-5.3634586398841999E-2</v>
      </c>
      <c r="BD27" s="280">
        <f t="shared" si="33"/>
        <v>-0.14939174250604148</v>
      </c>
      <c r="BE27" s="280">
        <f t="shared" si="33"/>
        <v>-0.19246776868346438</v>
      </c>
      <c r="BF27" s="280">
        <f t="shared" si="33"/>
        <v>-0.18507563555265205</v>
      </c>
      <c r="BG27" s="280">
        <f t="shared" si="33"/>
        <v>-8.2321252844020698E-2</v>
      </c>
      <c r="BH27" s="280">
        <f t="shared" si="33"/>
        <v>7.2372674757538835E-2</v>
      </c>
      <c r="BI27" s="280">
        <f t="shared" si="33"/>
        <v>0.15418701917627975</v>
      </c>
      <c r="BJ27" s="280">
        <f t="shared" si="33"/>
        <v>0.17260367813669175</v>
      </c>
      <c r="BK27" s="280">
        <f t="shared" si="33"/>
        <v>9.2388779615114602E-2</v>
      </c>
      <c r="BL27" s="280">
        <f t="shared" si="33"/>
        <v>4.5527703663963415E-2</v>
      </c>
      <c r="BM27" s="280">
        <f t="shared" si="33"/>
        <v>1.5198292326704888E-2</v>
      </c>
      <c r="BN27" s="280">
        <f t="shared" si="33"/>
        <v>1.8709241066682258E-2</v>
      </c>
      <c r="BO27" s="280">
        <f t="shared" si="33"/>
        <v>4.4392774920682943E-3</v>
      </c>
      <c r="BP27" s="280">
        <f t="shared" si="33"/>
        <v>-5.9958522754938959E-2</v>
      </c>
      <c r="BQ27" s="280">
        <f t="shared" si="33"/>
        <v>-7.8423322201300216E-2</v>
      </c>
      <c r="BR27" s="280">
        <f t="shared" si="33"/>
        <v>6.5956185661644184E-3</v>
      </c>
      <c r="BS27" s="280">
        <f t="shared" si="33"/>
        <v>4.9455893581689114E-2</v>
      </c>
      <c r="BT27" s="280">
        <f t="shared" si="33"/>
        <v>0.13982496369573649</v>
      </c>
      <c r="BU27" s="280">
        <f t="shared" si="33"/>
        <v>6.936460058332683E-2</v>
      </c>
      <c r="BV27" s="280">
        <f t="shared" si="33"/>
        <v>0.12263056700371755</v>
      </c>
      <c r="BW27" s="280">
        <f t="shared" si="33"/>
        <v>8.1020407300461228E-2</v>
      </c>
      <c r="BX27" s="280">
        <f t="shared" si="33"/>
        <v>-1.9338319420314387E-2</v>
      </c>
      <c r="BY27" s="280">
        <f t="shared" si="33"/>
        <v>-0.13646043378251715</v>
      </c>
      <c r="BZ27" s="280">
        <f t="shared" si="33"/>
        <v>-0.22168484573538205</v>
      </c>
      <c r="CA27" s="280">
        <f t="shared" si="33"/>
        <v>-0.12332670847550431</v>
      </c>
      <c r="CB27" s="280">
        <f t="shared" si="33"/>
        <v>-0.11439978690399133</v>
      </c>
      <c r="CC27" s="280">
        <f t="shared" si="33"/>
        <v>3.2181841524303589E-2</v>
      </c>
      <c r="CD27" s="280">
        <f t="shared" si="33"/>
        <v>3.8768949746482484E-2</v>
      </c>
      <c r="CE27" s="280">
        <f t="shared" si="33"/>
        <v>0.10268587088346193</v>
      </c>
      <c r="CF27" s="280">
        <f t="shared" si="33"/>
        <v>7.4268520030795759E-2</v>
      </c>
      <c r="CG27" s="280">
        <f t="shared" si="33"/>
        <v>1.1838855293416106E-2</v>
      </c>
      <c r="CH27" s="280">
        <f t="shared" si="33"/>
        <v>0.163412865430554</v>
      </c>
      <c r="CI27" s="280">
        <f t="shared" si="33"/>
        <v>9.6094456289495644E-2</v>
      </c>
      <c r="CJ27" s="280">
        <f t="shared" si="33"/>
        <v>0.14576357821483166</v>
      </c>
      <c r="CK27" s="280">
        <f t="shared" si="33"/>
        <v>-6.2555634997749632E-3</v>
      </c>
      <c r="CL27" s="280">
        <f t="shared" si="33"/>
        <v>-0.12441137924334067</v>
      </c>
      <c r="CM27" s="280">
        <f t="shared" si="33"/>
        <v>-0.16429043566167822</v>
      </c>
      <c r="CN27" s="239" t="s">
        <v>287</v>
      </c>
    </row>
    <row r="28" spans="1:92">
      <c r="F28" s="170"/>
      <c r="Q28" s="253" t="s">
        <v>271</v>
      </c>
      <c r="R28" s="170">
        <f t="shared" ref="R28:AL28" si="34">SUM(O10:R10)</f>
        <v>503027</v>
      </c>
      <c r="S28" s="170">
        <f t="shared" si="34"/>
        <v>479668</v>
      </c>
      <c r="T28" s="170">
        <f t="shared" si="34"/>
        <v>578531</v>
      </c>
      <c r="U28" s="170">
        <f t="shared" si="34"/>
        <v>743979</v>
      </c>
      <c r="V28" s="170">
        <f t="shared" si="34"/>
        <v>849878</v>
      </c>
      <c r="W28" s="170">
        <f t="shared" si="34"/>
        <v>867403</v>
      </c>
      <c r="X28" s="170">
        <f t="shared" si="34"/>
        <v>795887</v>
      </c>
      <c r="Y28" s="170">
        <f t="shared" si="34"/>
        <v>701858</v>
      </c>
      <c r="Z28" s="170">
        <f t="shared" si="34"/>
        <v>580833</v>
      </c>
      <c r="AA28" s="170">
        <f t="shared" si="34"/>
        <v>572771</v>
      </c>
      <c r="AB28" s="170">
        <f t="shared" si="34"/>
        <v>630908</v>
      </c>
      <c r="AC28" s="170">
        <f t="shared" si="34"/>
        <v>668262</v>
      </c>
      <c r="AD28" s="170">
        <f t="shared" si="34"/>
        <v>809161</v>
      </c>
      <c r="AE28" s="170">
        <f t="shared" si="34"/>
        <v>822140</v>
      </c>
      <c r="AF28" s="170">
        <f t="shared" si="34"/>
        <v>813896</v>
      </c>
      <c r="AG28" s="170">
        <f t="shared" si="34"/>
        <v>847768</v>
      </c>
      <c r="AH28" s="170">
        <f t="shared" si="34"/>
        <v>850739</v>
      </c>
      <c r="AI28" s="170">
        <f t="shared" si="34"/>
        <v>878328</v>
      </c>
      <c r="AJ28" s="170">
        <f t="shared" si="34"/>
        <v>902199</v>
      </c>
      <c r="AK28" s="170">
        <f t="shared" si="34"/>
        <v>833904</v>
      </c>
      <c r="AL28" s="170">
        <f t="shared" si="34"/>
        <v>762879</v>
      </c>
      <c r="AM28" s="201">
        <f>SUM(AJ10:AM10)</f>
        <v>809315</v>
      </c>
      <c r="AN28" s="201">
        <f>SUM(AK10:AN10)</f>
        <v>840578</v>
      </c>
      <c r="AO28" s="201">
        <f>SUM(AL10:AO10)</f>
        <v>868863</v>
      </c>
      <c r="AP28" s="201">
        <f>SUM(AM10:AP10)</f>
        <v>914363</v>
      </c>
      <c r="AQ28" s="201">
        <f>SUM(AN10:AQ10)</f>
        <v>893540</v>
      </c>
      <c r="AR28" s="201">
        <f>SUM(AO10:AR10)*1-1</f>
        <v>842465</v>
      </c>
      <c r="AS28" s="170">
        <f t="shared" ref="AS28:BB28" si="35">SUM(AP10:AS10)</f>
        <v>811985</v>
      </c>
      <c r="AT28" s="170">
        <f t="shared" si="35"/>
        <v>747107</v>
      </c>
      <c r="AU28" s="170">
        <f t="shared" si="35"/>
        <v>703626</v>
      </c>
      <c r="AV28" s="170">
        <f t="shared" si="35"/>
        <v>716874</v>
      </c>
      <c r="AW28" s="170">
        <f t="shared" si="35"/>
        <v>706793</v>
      </c>
      <c r="AX28" s="170">
        <f t="shared" si="35"/>
        <v>728527</v>
      </c>
      <c r="AY28" s="170">
        <f t="shared" si="35"/>
        <v>753372</v>
      </c>
      <c r="AZ28" s="170">
        <f t="shared" si="35"/>
        <v>775335</v>
      </c>
      <c r="BA28" s="170">
        <f t="shared" si="35"/>
        <v>844269</v>
      </c>
      <c r="BB28" s="170">
        <f t="shared" si="35"/>
        <v>846121</v>
      </c>
      <c r="BC28" s="170">
        <f t="shared" ref="BC28:CM28" si="36">SUM(AZ10:BC10)</f>
        <v>844603</v>
      </c>
      <c r="BD28" s="170">
        <f t="shared" si="36"/>
        <v>804499</v>
      </c>
      <c r="BE28" s="170">
        <f t="shared" si="36"/>
        <v>748677</v>
      </c>
      <c r="BF28" s="170">
        <f t="shared" si="36"/>
        <v>721767</v>
      </c>
      <c r="BG28" s="170">
        <f t="shared" si="36"/>
        <v>721158</v>
      </c>
      <c r="BH28" s="170">
        <f t="shared" si="36"/>
        <v>762020</v>
      </c>
      <c r="BI28" s="170">
        <f t="shared" si="36"/>
        <v>819690</v>
      </c>
      <c r="BJ28" s="170">
        <f t="shared" si="36"/>
        <v>912543</v>
      </c>
      <c r="BK28" s="170">
        <f t="shared" si="36"/>
        <v>931396</v>
      </c>
      <c r="BL28" s="170">
        <f t="shared" si="36"/>
        <v>979878</v>
      </c>
      <c r="BM28" s="170">
        <f t="shared" si="36"/>
        <v>942499</v>
      </c>
      <c r="BN28" s="170">
        <f t="shared" si="36"/>
        <v>915512</v>
      </c>
      <c r="BO28" s="170">
        <f t="shared" si="36"/>
        <v>920281</v>
      </c>
      <c r="BP28" s="170">
        <f t="shared" si="36"/>
        <v>884285</v>
      </c>
      <c r="BQ28" s="170">
        <f t="shared" si="36"/>
        <v>908524</v>
      </c>
      <c r="BR28" s="170">
        <f t="shared" si="36"/>
        <v>944301</v>
      </c>
      <c r="BS28" s="170">
        <f t="shared" si="36"/>
        <v>935859</v>
      </c>
      <c r="BT28" s="170">
        <f t="shared" si="36"/>
        <v>946759</v>
      </c>
      <c r="BU28" s="170">
        <f t="shared" si="36"/>
        <v>960065</v>
      </c>
      <c r="BV28" s="170">
        <f t="shared" si="36"/>
        <v>878186</v>
      </c>
      <c r="BW28" s="170">
        <f t="shared" si="36"/>
        <v>862905</v>
      </c>
      <c r="BX28" s="170">
        <f t="shared" si="36"/>
        <v>819224</v>
      </c>
      <c r="BY28" s="170">
        <f t="shared" si="36"/>
        <v>762904</v>
      </c>
      <c r="BZ28" s="170">
        <f t="shared" si="36"/>
        <v>764383</v>
      </c>
      <c r="CA28" s="170">
        <f t="shared" si="36"/>
        <v>797061</v>
      </c>
      <c r="CB28" s="170">
        <f t="shared" si="36"/>
        <v>795111</v>
      </c>
      <c r="CC28" s="170">
        <f t="shared" si="36"/>
        <v>770342</v>
      </c>
      <c r="CD28" s="170">
        <f t="shared" si="36"/>
        <v>805695</v>
      </c>
      <c r="CE28" s="170">
        <f t="shared" si="36"/>
        <v>825506</v>
      </c>
      <c r="CF28" s="170">
        <f t="shared" si="36"/>
        <v>837366</v>
      </c>
      <c r="CG28" s="170">
        <f t="shared" si="36"/>
        <v>843748</v>
      </c>
      <c r="CH28" s="170">
        <f t="shared" si="36"/>
        <v>685905</v>
      </c>
      <c r="CI28" s="170">
        <f t="shared" si="36"/>
        <v>650535</v>
      </c>
      <c r="CJ28" s="170">
        <f t="shared" si="36"/>
        <v>643566</v>
      </c>
      <c r="CK28" s="170">
        <f t="shared" si="36"/>
        <v>649785</v>
      </c>
      <c r="CL28" s="170">
        <f t="shared" si="36"/>
        <v>755935</v>
      </c>
      <c r="CM28" s="170">
        <f t="shared" si="36"/>
        <v>734189</v>
      </c>
      <c r="CN28" s="239" t="s">
        <v>94</v>
      </c>
    </row>
    <row r="29" spans="1:92">
      <c r="F29" s="170"/>
      <c r="Q29" s="253" t="s">
        <v>287</v>
      </c>
      <c r="V29" s="279">
        <f t="shared" ref="V29:AL29" si="37">(V28/R28)*1-1</f>
        <v>0.68952759991014401</v>
      </c>
      <c r="W29" s="279">
        <f t="shared" si="37"/>
        <v>0.80834035207685306</v>
      </c>
      <c r="X29" s="279">
        <f t="shared" si="37"/>
        <v>0.37570328988420676</v>
      </c>
      <c r="Y29" s="279">
        <f t="shared" si="37"/>
        <v>-5.6615845339720638E-2</v>
      </c>
      <c r="Z29" s="279">
        <f t="shared" si="37"/>
        <v>-0.31656896636929066</v>
      </c>
      <c r="AA29" s="279">
        <f t="shared" si="37"/>
        <v>-0.33967140994439726</v>
      </c>
      <c r="AB29" s="279">
        <f t="shared" si="37"/>
        <v>-0.20728947702374834</v>
      </c>
      <c r="AC29" s="279">
        <f t="shared" si="37"/>
        <v>-4.7867232403135729E-2</v>
      </c>
      <c r="AD29" s="279">
        <f t="shared" si="37"/>
        <v>0.39310438628659194</v>
      </c>
      <c r="AE29" s="279">
        <f t="shared" si="37"/>
        <v>0.43537295009698473</v>
      </c>
      <c r="AF29" s="279">
        <f t="shared" si="37"/>
        <v>0.29003911822325912</v>
      </c>
      <c r="AG29" s="279">
        <f t="shared" si="37"/>
        <v>0.268616201429978</v>
      </c>
      <c r="AH29" s="279">
        <f t="shared" si="37"/>
        <v>5.1384087962716984E-2</v>
      </c>
      <c r="AI29" s="279">
        <f t="shared" si="37"/>
        <v>6.8343591115868296E-2</v>
      </c>
      <c r="AJ29" s="279">
        <f t="shared" si="37"/>
        <v>0.10849420564789614</v>
      </c>
      <c r="AK29" s="279">
        <f t="shared" si="37"/>
        <v>-1.6353530682922668E-2</v>
      </c>
      <c r="AL29" s="279">
        <f t="shared" si="37"/>
        <v>-0.10327491745411932</v>
      </c>
      <c r="AM29" s="280">
        <f>(AM28/AI28)*1-1</f>
        <v>-7.8573152626353671E-2</v>
      </c>
      <c r="AN29" s="280">
        <f>(AN28/AJ28)*1-1</f>
        <v>-6.8300895922074889E-2</v>
      </c>
      <c r="AO29" s="280">
        <f>(AO28/AK28)*1-1</f>
        <v>4.192209175156858E-2</v>
      </c>
      <c r="AP29" s="280">
        <f t="shared" ref="AP29:AW29" si="38">(AP28/AL28)*1-1</f>
        <v>0.19856884250320173</v>
      </c>
      <c r="AQ29" s="280">
        <f t="shared" si="38"/>
        <v>0.10406949086573203</v>
      </c>
      <c r="AR29" s="280">
        <f t="shared" si="38"/>
        <v>2.2448838775224189E-3</v>
      </c>
      <c r="AS29" s="280">
        <f t="shared" si="38"/>
        <v>-6.5462564293795489E-2</v>
      </c>
      <c r="AT29" s="280">
        <f t="shared" si="38"/>
        <v>-0.18292078747718354</v>
      </c>
      <c r="AU29" s="280">
        <f t="shared" si="38"/>
        <v>-0.21254112854488882</v>
      </c>
      <c r="AV29" s="280">
        <f t="shared" si="38"/>
        <v>-0.14907562925462781</v>
      </c>
      <c r="AW29" s="280">
        <f t="shared" si="38"/>
        <v>-0.12954919117964003</v>
      </c>
      <c r="AX29" s="280">
        <f t="shared" ref="AX29:BE29" si="39">(AX28/AT28)*1-1</f>
        <v>-2.486926236804099E-2</v>
      </c>
      <c r="AY29" s="280">
        <f t="shared" si="39"/>
        <v>7.0699490922734531E-2</v>
      </c>
      <c r="AZ29" s="280">
        <f t="shared" si="39"/>
        <v>8.1549895797587757E-2</v>
      </c>
      <c r="BA29" s="280">
        <f t="shared" si="39"/>
        <v>0.19450673676734209</v>
      </c>
      <c r="BB29" s="280">
        <f t="shared" si="39"/>
        <v>0.16141337246251686</v>
      </c>
      <c r="BC29" s="280">
        <f t="shared" si="39"/>
        <v>0.12109688175297206</v>
      </c>
      <c r="BD29" s="280">
        <f t="shared" si="39"/>
        <v>3.7614708480850245E-2</v>
      </c>
      <c r="BE29" s="280">
        <f t="shared" si="39"/>
        <v>-0.11322457652714957</v>
      </c>
      <c r="BF29" s="280">
        <f t="shared" ref="BF29:CM29" si="40">(BF28/BB28)*1-1</f>
        <v>-0.14696952327149426</v>
      </c>
      <c r="BG29" s="280">
        <f t="shared" si="40"/>
        <v>-0.14615742544130206</v>
      </c>
      <c r="BH29" s="280">
        <f t="shared" si="40"/>
        <v>-5.2801805844382654E-2</v>
      </c>
      <c r="BI29" s="280">
        <f t="shared" si="40"/>
        <v>9.4851317724465867E-2</v>
      </c>
      <c r="BJ29" s="280">
        <f t="shared" si="40"/>
        <v>0.2643179862753493</v>
      </c>
      <c r="BK29" s="280">
        <f t="shared" si="40"/>
        <v>0.29152834746338518</v>
      </c>
      <c r="BL29" s="280">
        <f t="shared" si="40"/>
        <v>0.28589538332327225</v>
      </c>
      <c r="BM29" s="280">
        <f t="shared" si="40"/>
        <v>0.14982371384303828</v>
      </c>
      <c r="BN29" s="280">
        <f t="shared" si="40"/>
        <v>3.2535453123851976E-3</v>
      </c>
      <c r="BO29" s="280">
        <f t="shared" si="40"/>
        <v>-1.1933699522007846E-2</v>
      </c>
      <c r="BP29" s="280">
        <f t="shared" si="40"/>
        <v>-9.7556022280324672E-2</v>
      </c>
      <c r="BQ29" s="280">
        <f t="shared" si="40"/>
        <v>-3.6047783605075434E-2</v>
      </c>
      <c r="BR29" s="280">
        <f t="shared" si="40"/>
        <v>3.1445792081370882E-2</v>
      </c>
      <c r="BS29" s="280">
        <f t="shared" si="40"/>
        <v>1.6927438467163824E-2</v>
      </c>
      <c r="BT29" s="280">
        <f t="shared" si="40"/>
        <v>7.064916853729275E-2</v>
      </c>
      <c r="BU29" s="280">
        <f t="shared" si="40"/>
        <v>5.6730477125535472E-2</v>
      </c>
      <c r="BV29" s="280">
        <f t="shared" si="40"/>
        <v>-7.0014751652280327E-2</v>
      </c>
      <c r="BW29" s="280">
        <f t="shared" si="40"/>
        <v>-7.7954050770468575E-2</v>
      </c>
      <c r="BX29" s="280">
        <f t="shared" si="40"/>
        <v>-0.13470693175348747</v>
      </c>
      <c r="BY29" s="280">
        <f t="shared" si="40"/>
        <v>-0.2053621369386448</v>
      </c>
      <c r="BZ29" s="280">
        <f t="shared" si="40"/>
        <v>-0.12958872038497538</v>
      </c>
      <c r="CA29" s="280">
        <f t="shared" si="40"/>
        <v>-7.6305039372816297E-2</v>
      </c>
      <c r="CB29" s="280">
        <f t="shared" si="40"/>
        <v>-2.9433952130308638E-2</v>
      </c>
      <c r="CC29" s="280">
        <f t="shared" si="40"/>
        <v>9.7495884147940082E-3</v>
      </c>
      <c r="CD29" s="280">
        <f t="shared" si="40"/>
        <v>5.4046204585920909E-2</v>
      </c>
      <c r="CE29" s="280">
        <f t="shared" si="40"/>
        <v>3.5687356425668781E-2</v>
      </c>
      <c r="CF29" s="280">
        <f t="shared" si="40"/>
        <v>5.3143523357116251E-2</v>
      </c>
      <c r="CG29" s="280">
        <f t="shared" si="40"/>
        <v>9.5290143858182574E-2</v>
      </c>
      <c r="CH29" s="280">
        <f t="shared" si="40"/>
        <v>-0.14867909072291619</v>
      </c>
      <c r="CI29" s="280">
        <f t="shared" si="40"/>
        <v>-0.21195606088871555</v>
      </c>
      <c r="CJ29" s="280">
        <f t="shared" si="40"/>
        <v>-0.23144001547710324</v>
      </c>
      <c r="CK29" s="280">
        <f t="shared" si="40"/>
        <v>-0.2298826189810228</v>
      </c>
      <c r="CL29" s="280">
        <f t="shared" si="40"/>
        <v>0.1020986871359737</v>
      </c>
      <c r="CM29" s="280">
        <f t="shared" si="40"/>
        <v>0.12859261992052695</v>
      </c>
      <c r="CN29" s="239" t="s">
        <v>287</v>
      </c>
    </row>
    <row r="30" spans="1:92" ht="12.75" thickBot="1">
      <c r="F30" s="170"/>
      <c r="Q30" s="281"/>
      <c r="R30" s="258"/>
      <c r="S30" s="258"/>
      <c r="T30" s="258"/>
      <c r="U30" s="258"/>
      <c r="V30" s="258"/>
      <c r="W30" s="258"/>
      <c r="X30" s="258"/>
      <c r="Y30" s="258"/>
      <c r="Z30" s="258"/>
      <c r="AA30" s="258"/>
      <c r="AB30" s="258"/>
      <c r="AC30" s="258"/>
      <c r="AD30" s="258"/>
      <c r="AE30" s="258"/>
      <c r="AF30" s="258"/>
      <c r="AG30" s="258"/>
      <c r="AH30" s="282"/>
      <c r="AI30" s="258"/>
      <c r="AJ30" s="258"/>
      <c r="AK30" s="258"/>
      <c r="AL30" s="258"/>
      <c r="AM30" s="283"/>
      <c r="AN30" s="283"/>
      <c r="AO30" s="258"/>
      <c r="AP30" s="258"/>
      <c r="AQ30" s="258"/>
      <c r="AR30" s="258"/>
      <c r="AS30" s="258"/>
      <c r="AT30" s="258"/>
      <c r="AU30" s="284"/>
      <c r="AV30" s="258"/>
      <c r="AW30" s="258"/>
      <c r="AX30" s="258"/>
      <c r="AY30" s="259"/>
      <c r="AZ30" s="259"/>
      <c r="BA30" s="259"/>
      <c r="BB30" s="259"/>
      <c r="BC30" s="259"/>
      <c r="BD30" s="259"/>
      <c r="BE30" s="259"/>
      <c r="BF30" s="259"/>
      <c r="BG30" s="259"/>
      <c r="BH30" s="259"/>
      <c r="BI30" s="259"/>
      <c r="BJ30" s="259"/>
      <c r="BK30" s="259"/>
      <c r="BL30" s="259"/>
      <c r="BM30" s="259"/>
      <c r="BN30" s="259"/>
      <c r="BO30" s="259"/>
      <c r="BP30" s="259"/>
      <c r="BQ30" s="259"/>
      <c r="BR30" s="259"/>
      <c r="BS30" s="259"/>
      <c r="BT30" s="259"/>
      <c r="BU30" s="259"/>
      <c r="BV30" s="259"/>
      <c r="BW30" s="259"/>
      <c r="BX30" s="259"/>
      <c r="BY30" s="259"/>
      <c r="BZ30" s="259"/>
      <c r="CA30" s="259"/>
      <c r="CB30" s="259"/>
      <c r="CC30" s="259"/>
      <c r="CD30" s="259"/>
      <c r="CE30" s="259"/>
      <c r="CF30" s="259"/>
      <c r="CG30" s="259"/>
      <c r="CH30" s="259"/>
      <c r="CI30" s="259"/>
      <c r="CJ30" s="259"/>
      <c r="CK30" s="259"/>
      <c r="CL30" s="259"/>
      <c r="CM30" s="259"/>
      <c r="CN30" s="285"/>
    </row>
    <row r="31" spans="1:92">
      <c r="F31" s="170"/>
    </row>
    <row r="32" spans="1:92">
      <c r="F32" s="170"/>
      <c r="AN32" s="200" t="s">
        <v>14</v>
      </c>
      <c r="AP32" s="199" t="s">
        <v>14</v>
      </c>
    </row>
    <row r="33" spans="1:91">
      <c r="F33" s="170"/>
      <c r="AP33" s="199" t="s">
        <v>14</v>
      </c>
    </row>
    <row r="34" spans="1:91">
      <c r="R34" s="267"/>
      <c r="S34" s="267"/>
      <c r="T34" s="286"/>
      <c r="AN34" s="200" t="s">
        <v>14</v>
      </c>
    </row>
    <row r="36" spans="1:91">
      <c r="S36" s="287"/>
      <c r="T36" s="287"/>
      <c r="AM36" s="200" t="s">
        <v>14</v>
      </c>
      <c r="AP36" s="199" t="s">
        <v>14</v>
      </c>
    </row>
    <row r="38" spans="1:91">
      <c r="BG38" s="288"/>
      <c r="BV38" s="288"/>
      <c r="BY38" s="288"/>
      <c r="BZ38" s="288"/>
      <c r="CA38" s="288"/>
      <c r="CB38" s="288"/>
      <c r="CC38" s="288"/>
      <c r="CD38" s="288"/>
      <c r="CE38" s="288"/>
      <c r="CF38" s="288"/>
      <c r="CG38" s="288"/>
      <c r="CH38" s="288"/>
      <c r="CI38" s="288"/>
      <c r="CJ38" s="288"/>
      <c r="CK38" s="288"/>
      <c r="CL38" s="288"/>
      <c r="CM38" s="288"/>
    </row>
    <row r="39" spans="1:91">
      <c r="BK39" s="288"/>
      <c r="BO39" s="288"/>
      <c r="BR39" s="288"/>
    </row>
    <row r="44" spans="1:91">
      <c r="C44" s="267"/>
    </row>
    <row r="45" spans="1:91">
      <c r="B45" s="267"/>
      <c r="C45" s="267"/>
      <c r="D45" s="267"/>
      <c r="E45" s="267"/>
      <c r="F45" s="267"/>
    </row>
    <row r="46" spans="1:91">
      <c r="A46" s="267"/>
      <c r="B46" s="170"/>
      <c r="C46" s="170"/>
      <c r="D46" s="170"/>
      <c r="E46" s="170"/>
      <c r="F46" s="206"/>
      <c r="G46" s="170"/>
    </row>
    <row r="47" spans="1:91">
      <c r="A47" s="267"/>
      <c r="B47" s="170"/>
      <c r="C47" s="170"/>
      <c r="D47" s="170"/>
      <c r="E47" s="170"/>
      <c r="F47" s="206"/>
      <c r="G47" s="170"/>
    </row>
    <row r="48" spans="1:91">
      <c r="A48" s="267"/>
      <c r="B48" s="170"/>
      <c r="C48" s="170"/>
      <c r="D48" s="170"/>
      <c r="E48" s="170"/>
      <c r="F48" s="206"/>
      <c r="G48" s="170"/>
    </row>
    <row r="49" spans="1:8">
      <c r="A49" s="267"/>
      <c r="B49" s="170"/>
      <c r="C49" s="170"/>
      <c r="D49" s="170"/>
      <c r="E49" s="170"/>
      <c r="F49" s="206"/>
      <c r="G49" s="170"/>
    </row>
    <row r="50" spans="1:8">
      <c r="A50" s="267"/>
      <c r="B50" s="170"/>
      <c r="C50" s="170"/>
      <c r="D50" s="170"/>
      <c r="E50" s="170"/>
      <c r="F50" s="206"/>
      <c r="G50" s="170"/>
    </row>
    <row r="51" spans="1:8">
      <c r="A51" s="267"/>
      <c r="B51" s="170"/>
      <c r="C51" s="170"/>
      <c r="D51" s="170"/>
      <c r="E51" s="170"/>
      <c r="F51" s="206"/>
      <c r="G51" s="170"/>
    </row>
    <row r="52" spans="1:8">
      <c r="A52" s="267"/>
      <c r="B52" s="170"/>
      <c r="C52" s="170"/>
      <c r="D52" s="172"/>
      <c r="E52" s="172"/>
      <c r="F52" s="213"/>
      <c r="G52" s="172"/>
      <c r="H52" s="197"/>
    </row>
    <row r="53" spans="1:8">
      <c r="A53" s="267"/>
      <c r="B53" s="170"/>
      <c r="C53" s="170"/>
      <c r="D53" s="172"/>
      <c r="E53" s="172"/>
      <c r="F53" s="213"/>
      <c r="G53" s="172"/>
      <c r="H53" s="197"/>
    </row>
    <row r="54" spans="1:8">
      <c r="A54" s="267"/>
      <c r="B54" s="170"/>
      <c r="C54" s="170"/>
      <c r="D54" s="172"/>
      <c r="E54" s="172"/>
      <c r="F54" s="213"/>
      <c r="G54" s="197"/>
      <c r="H54" s="197"/>
    </row>
    <row r="55" spans="1:8">
      <c r="A55" s="267"/>
      <c r="B55" s="170"/>
      <c r="C55" s="170"/>
      <c r="D55" s="172"/>
      <c r="E55" s="172"/>
      <c r="F55" s="213"/>
      <c r="G55" s="197"/>
      <c r="H55" s="197"/>
    </row>
    <row r="56" spans="1:8">
      <c r="A56" s="267"/>
      <c r="B56" s="170"/>
      <c r="C56" s="170"/>
      <c r="D56" s="172"/>
      <c r="E56" s="289"/>
      <c r="F56" s="213"/>
      <c r="G56" s="197"/>
      <c r="H56" s="197"/>
    </row>
    <row r="57" spans="1:8">
      <c r="A57" s="267"/>
      <c r="B57" s="170"/>
      <c r="C57" s="170"/>
      <c r="D57" s="197"/>
      <c r="E57" s="197"/>
      <c r="F57" s="197"/>
      <c r="G57" s="197"/>
      <c r="H57" s="197"/>
    </row>
    <row r="58" spans="1:8">
      <c r="D58" s="197"/>
      <c r="E58" s="197"/>
      <c r="F58" s="197"/>
      <c r="G58" s="197" t="s">
        <v>14</v>
      </c>
      <c r="H58" s="197"/>
    </row>
    <row r="70" spans="5:6">
      <c r="E70" s="267"/>
    </row>
    <row r="72" spans="5:6">
      <c r="E72" s="267"/>
      <c r="F72" s="170"/>
    </row>
    <row r="73" spans="5:6">
      <c r="E73" s="267"/>
      <c r="F73" s="170"/>
    </row>
    <row r="74" spans="5:6">
      <c r="E74" s="267"/>
      <c r="F74" s="170"/>
    </row>
    <row r="75" spans="5:6">
      <c r="E75" s="267"/>
      <c r="F75" s="170"/>
    </row>
    <row r="76" spans="5:6">
      <c r="E76" s="267"/>
      <c r="F76" s="170"/>
    </row>
    <row r="77" spans="5:6">
      <c r="E77" s="267"/>
      <c r="F77" s="170"/>
    </row>
    <row r="78" spans="5:6">
      <c r="E78" s="267"/>
      <c r="F78" s="170"/>
    </row>
    <row r="79" spans="5:6">
      <c r="E79" s="267"/>
      <c r="F79" s="170"/>
    </row>
    <row r="80" spans="5:6">
      <c r="E80" s="267"/>
      <c r="F80" s="170"/>
    </row>
    <row r="81" spans="5:6">
      <c r="E81" s="267"/>
      <c r="F81" s="172"/>
    </row>
    <row r="82" spans="5:6">
      <c r="E82" s="267"/>
      <c r="F82" s="170"/>
    </row>
  </sheetData>
  <mergeCells count="1">
    <mergeCell ref="A4:I4"/>
  </mergeCells>
  <phoneticPr fontId="0" type="noConversion"/>
  <printOptions gridLines="1"/>
  <pageMargins left="0" right="0" top="0" bottom="0" header="0.11811023622047245" footer="0.11811023622047245"/>
  <pageSetup paperSize="9" scale="50" firstPageNumber="0" fitToWidth="8" orientation="landscape" horizontalDpi="300" verticalDpi="300"/>
  <headerFooter>
    <oddHeader>&amp;C&amp;"Bitstream Vera Sans,Roman"&amp;A</oddHeader>
    <oddFooter>&amp;C&amp;"Bitstream Vera Sans,Roman"Page &amp;P</oddFooter>
  </headerFooter>
  <ignoredErrors>
    <ignoredError sqref="AX15 B12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463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Monthly_Imports</vt:lpstr>
      <vt:lpstr>Financial Yr cumulative imports</vt:lpstr>
      <vt:lpstr>Financial Yr Imports</vt:lpstr>
      <vt:lpstr>Calendar Yr import</vt:lpstr>
      <vt:lpstr>Quarterly_Imports_By_Year</vt:lpstr>
      <vt:lpstr>Market_Breakdown</vt:lpstr>
      <vt:lpstr>Cumulative monthly imports</vt:lpstr>
      <vt:lpstr>Ave annual import value</vt:lpstr>
      <vt:lpstr>Quarterly_Adjusted_Figures</vt:lpstr>
      <vt:lpstr>Import Value Qtr</vt:lpstr>
      <vt:lpstr>Import Value MNTH</vt:lpstr>
      <vt:lpstr>Inner tubes</vt:lpstr>
      <vt:lpstr>Tyres</vt:lpstr>
      <vt:lpstr>Bike lights</vt:lpstr>
      <vt:lpstr>Frames</vt:lpstr>
      <vt:lpstr>Forks</vt:lpstr>
      <vt:lpstr>Wheel Rims</vt:lpstr>
      <vt:lpstr>Saddles</vt:lpstr>
      <vt:lpstr>Pedals and cranks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 Latz</dc:creator>
  <cp:lastModifiedBy>Peter Bourke</cp:lastModifiedBy>
  <cp:revision>26</cp:revision>
  <cp:lastPrinted>2014-02-18T04:31:36Z</cp:lastPrinted>
  <dcterms:created xsi:type="dcterms:W3CDTF">2000-10-26T22:18:53Z</dcterms:created>
  <dcterms:modified xsi:type="dcterms:W3CDTF">2020-07-02T04:12:08Z</dcterms:modified>
</cp:coreProperties>
</file>